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2\2022.02.01\"/>
    </mc:Choice>
  </mc:AlternateContent>
  <xr:revisionPtr revIDLastSave="0" documentId="13_ncr:1_{83772F65-C606-4A36-A350-1E7A2E5E4AD8}" xr6:coauthVersionLast="47" xr6:coauthVersionMax="47" xr10:uidLastSave="{00000000-0000-0000-0000-000000000000}"/>
  <workbookProtection workbookAlgorithmName="SHA-512" workbookHashValue="p44iBnFBY8zekbLMfwB65SvkJ/Gd6mFoF02lLfwEhfP49+CCPor5MbpjFCz2/WqCGjq6N3uCLHhIIyc11X6NMQ==" workbookSaltValue="bCGd4Yywe4UfsNDrJs7ESg==" workbookSpinCount="100000" lockStructure="1"/>
  <bookViews>
    <workbookView xWindow="-120" yWindow="-120" windowWidth="29040" windowHeight="15840" tabRatio="500" activeTab="3" xr2:uid="{00000000-000D-0000-FFFF-FFFF00000000}"/>
  </bookViews>
  <sheets>
    <sheet name="Mérleg(önkormányzat 2020)" sheetId="1" r:id="rId1"/>
    <sheet name="Bevételek(önkormányzat 2020" sheetId="2" r:id="rId2"/>
    <sheet name="Bevételek COFOG szerint 2020" sheetId="3" state="hidden" r:id="rId3"/>
    <sheet name="Kiadások(önkormányzat 2020)" sheetId="4" r:id="rId4"/>
    <sheet name="Kiadások COFOG szerint" sheetId="5" state="hidden" r:id="rId5"/>
    <sheet name="Kiadások részletes COFOG" sheetId="6" state="hidden" r:id="rId6"/>
    <sheet name="Kiadások COFOG összesítő" sheetId="7" state="hidden" r:id="rId7"/>
    <sheet name="Pénzmaradvány 2020" sheetId="8" state="hidden" r:id="rId8"/>
  </sheets>
  <definedNames>
    <definedName name="_xlnm._FilterDatabase" localSheetId="2" hidden="1">'Bevételek COFOG szerint 2020'!$A$1:$A$169</definedName>
    <definedName name="_xlnm._FilterDatabase" localSheetId="4" hidden="1">'Kiadások COFOG szerint'!$A$1:$A$332</definedName>
    <definedName name="_xlnm.Print_Area" localSheetId="2">'Bevételek COFOG szerint 2020'!$A$1:$F$161</definedName>
    <definedName name="_xlnm.Print_Area" localSheetId="1">'Bevételek(önkormányzat 2020'!$A$1:$F$50</definedName>
    <definedName name="_xlnm.Print_Area" localSheetId="6">'Kiadások COFOG összesítő'!$A$1:$K$38</definedName>
    <definedName name="_xlnm.Print_Area" localSheetId="4">'Kiadások COFOG szerint'!$A$1:$F$317</definedName>
    <definedName name="_xlnm.Print_Area" localSheetId="5">'Kiadások részletes COFOG'!$A$1:$L$519</definedName>
    <definedName name="_xlnm.Print_Area" localSheetId="3">'Kiadások(önkormányzat 2020)'!$A$1:$F$85</definedName>
    <definedName name="_xlnm.Print_Area" localSheetId="0">'Mérleg(önkormányzat 2020)'!$A$1:$M$26</definedName>
    <definedName name="_xlnm.Print_Area" localSheetId="7">'Pénzmaradvány 2020'!$A$1:$C$29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5" i="6" l="1"/>
  <c r="C40" i="6"/>
  <c r="G123" i="6" l="1"/>
  <c r="F431" i="6" l="1"/>
  <c r="F430" i="6"/>
  <c r="F429" i="6" s="1"/>
  <c r="F424" i="6"/>
  <c r="F45" i="5" l="1"/>
  <c r="F49" i="2"/>
  <c r="D49" i="2" s="1"/>
  <c r="F104" i="5" l="1"/>
  <c r="D76" i="3"/>
  <c r="F12" i="2"/>
  <c r="F72" i="3"/>
  <c r="F349" i="6"/>
  <c r="F348" i="6"/>
  <c r="F286" i="6"/>
  <c r="F287" i="6"/>
  <c r="F285" i="6"/>
  <c r="F284" i="6" l="1"/>
  <c r="F347" i="6"/>
  <c r="F275" i="6" l="1"/>
  <c r="F336" i="6"/>
  <c r="F24" i="3" l="1"/>
  <c r="F112" i="3" l="1"/>
  <c r="I48" i="3" l="1"/>
  <c r="J47" i="3" s="1"/>
  <c r="I43" i="3"/>
  <c r="J43" i="3" s="1"/>
  <c r="I32" i="3"/>
  <c r="J37" i="3"/>
  <c r="F487" i="6" l="1"/>
  <c r="F486" i="6"/>
  <c r="F485" i="6" l="1"/>
  <c r="F266" i="6" l="1"/>
  <c r="I231" i="6"/>
  <c r="F236" i="6"/>
  <c r="F235" i="6" s="1"/>
  <c r="F233" i="6"/>
  <c r="I237" i="6"/>
  <c r="F209" i="6" l="1"/>
  <c r="F208" i="6"/>
  <c r="F207" i="6" l="1"/>
  <c r="F216" i="6" s="1"/>
  <c r="F93" i="5"/>
  <c r="D93" i="5" s="1"/>
  <c r="I162" i="6"/>
  <c r="F159" i="6" l="1"/>
  <c r="F160" i="6"/>
  <c r="F158" i="6"/>
  <c r="I157" i="6"/>
  <c r="F146" i="6"/>
  <c r="F167" i="6" l="1"/>
  <c r="F103" i="6"/>
  <c r="F34" i="6"/>
  <c r="F195" i="6"/>
  <c r="F203" i="6" s="1"/>
  <c r="F35" i="5" l="1"/>
  <c r="I96" i="6"/>
  <c r="I92" i="6"/>
  <c r="I95" i="6"/>
  <c r="I98" i="6"/>
  <c r="F88" i="6"/>
  <c r="F89" i="6"/>
  <c r="F94" i="6"/>
  <c r="I94" i="6" s="1"/>
  <c r="F93" i="6"/>
  <c r="I93" i="6" s="1"/>
  <c r="F90" i="6"/>
  <c r="F91" i="6"/>
  <c r="F85" i="6"/>
  <c r="F84" i="6"/>
  <c r="F97" i="6" l="1"/>
  <c r="I97" i="6" s="1"/>
  <c r="I76" i="6"/>
  <c r="I79" i="6"/>
  <c r="I78" i="6"/>
  <c r="I72" i="6"/>
  <c r="I73" i="6"/>
  <c r="I74" i="6"/>
  <c r="F67" i="6"/>
  <c r="F63" i="6"/>
  <c r="F64" i="6"/>
  <c r="F57" i="6" l="1"/>
  <c r="F53" i="6" l="1"/>
  <c r="F54" i="6"/>
  <c r="F55" i="6"/>
  <c r="F34" i="5"/>
  <c r="F45" i="6"/>
  <c r="F44" i="6"/>
  <c r="C41" i="6"/>
  <c r="F41" i="6" s="1"/>
  <c r="F33" i="6"/>
  <c r="F35" i="6"/>
  <c r="F36" i="6"/>
  <c r="F32" i="6"/>
  <c r="F18" i="6"/>
  <c r="F19" i="6"/>
  <c r="F20" i="6"/>
  <c r="F21" i="6"/>
  <c r="F22" i="6"/>
  <c r="F23" i="6"/>
  <c r="F24" i="6"/>
  <c r="F25" i="6"/>
  <c r="F26" i="6"/>
  <c r="F27" i="6"/>
  <c r="F28" i="6"/>
  <c r="F29" i="6"/>
  <c r="F17" i="6"/>
  <c r="F110" i="5"/>
  <c r="F78" i="4" s="1"/>
  <c r="I317" i="6"/>
  <c r="F316" i="6"/>
  <c r="I316" i="6" s="1"/>
  <c r="F311" i="6"/>
  <c r="I311" i="6" s="1"/>
  <c r="I310" i="6"/>
  <c r="I309" i="6"/>
  <c r="I305" i="6"/>
  <c r="I306" i="6"/>
  <c r="F304" i="6"/>
  <c r="I304" i="6" s="1"/>
  <c r="I302" i="6"/>
  <c r="I303" i="6"/>
  <c r="F307" i="6"/>
  <c r="I307" i="6" s="1"/>
  <c r="F299" i="6"/>
  <c r="I299" i="6" s="1"/>
  <c r="I312" i="6"/>
  <c r="I313" i="6"/>
  <c r="I314" i="6"/>
  <c r="I319" i="6"/>
  <c r="I320" i="6"/>
  <c r="I294" i="6"/>
  <c r="I295" i="6"/>
  <c r="I296" i="6"/>
  <c r="I297" i="6"/>
  <c r="I293" i="6"/>
  <c r="F292" i="6"/>
  <c r="C290" i="6"/>
  <c r="F290" i="6" s="1"/>
  <c r="F282" i="6"/>
  <c r="F281" i="6" s="1"/>
  <c r="F280" i="6"/>
  <c r="C289" i="6" s="1"/>
  <c r="F274" i="6"/>
  <c r="F380" i="6"/>
  <c r="G29" i="6" l="1"/>
  <c r="F47" i="6"/>
  <c r="F38" i="6"/>
  <c r="F178" i="5"/>
  <c r="F298" i="6"/>
  <c r="F175" i="5" s="1"/>
  <c r="D175" i="5" s="1"/>
  <c r="F315" i="6"/>
  <c r="F180" i="5" s="1"/>
  <c r="F301" i="6"/>
  <c r="F300" i="6" s="1"/>
  <c r="F176" i="5" s="1"/>
  <c r="F289" i="6"/>
  <c r="I315" i="6" l="1"/>
  <c r="I321" i="6" s="1"/>
  <c r="F296" i="5" l="1"/>
  <c r="F482" i="6"/>
  <c r="F483" i="6"/>
  <c r="F294" i="5" s="1"/>
  <c r="H464" i="6"/>
  <c r="F208" i="5"/>
  <c r="F364" i="6"/>
  <c r="H364" i="6" s="1"/>
  <c r="H363" i="6"/>
  <c r="H367" i="6"/>
  <c r="H368" i="6"/>
  <c r="F362" i="6"/>
  <c r="H362" i="6" s="1"/>
  <c r="F360" i="6"/>
  <c r="H360" i="6" s="1"/>
  <c r="H355" i="6"/>
  <c r="C352" i="6"/>
  <c r="F352" i="6" s="1"/>
  <c r="F345" i="6"/>
  <c r="F344" i="6" s="1"/>
  <c r="C353" i="6" s="1"/>
  <c r="F335" i="6"/>
  <c r="G336" i="6" s="1"/>
  <c r="F446" i="6"/>
  <c r="I443" i="6"/>
  <c r="F442" i="6"/>
  <c r="C488" i="6" l="1"/>
  <c r="F492" i="6"/>
  <c r="F295" i="5"/>
  <c r="D295" i="5" s="1"/>
  <c r="C489" i="6"/>
  <c r="E489" i="6" s="1"/>
  <c r="F350" i="6"/>
  <c r="F207" i="5"/>
  <c r="F359" i="6"/>
  <c r="F361" i="6"/>
  <c r="I436" i="6"/>
  <c r="I438" i="6"/>
  <c r="F437" i="6"/>
  <c r="I437" i="6" s="1"/>
  <c r="I441" i="6"/>
  <c r="I445" i="6"/>
  <c r="I446" i="6"/>
  <c r="I448" i="6"/>
  <c r="I439" i="6"/>
  <c r="C433" i="6"/>
  <c r="E433" i="6" s="1"/>
  <c r="F422" i="6"/>
  <c r="F423" i="6"/>
  <c r="F427" i="6"/>
  <c r="F428" i="6"/>
  <c r="F421" i="6"/>
  <c r="C432" i="6" l="1"/>
  <c r="G423" i="6"/>
  <c r="F433" i="6"/>
  <c r="D60" i="3" l="1"/>
  <c r="D57" i="3"/>
  <c r="D58" i="3"/>
  <c r="C56" i="3"/>
  <c r="C61" i="3"/>
  <c r="C66" i="3"/>
  <c r="F66" i="3"/>
  <c r="F61" i="3"/>
  <c r="D65" i="3"/>
  <c r="D64" i="3"/>
  <c r="D63" i="3"/>
  <c r="F56" i="3"/>
  <c r="F9" i="2" s="1"/>
  <c r="D59" i="3"/>
  <c r="F45" i="3"/>
  <c r="C35" i="3"/>
  <c r="C59" i="4"/>
  <c r="C55" i="4"/>
  <c r="C42" i="4"/>
  <c r="C16" i="4"/>
  <c r="C88" i="5"/>
  <c r="F169" i="5"/>
  <c r="D169" i="5" s="1"/>
  <c r="C29" i="8"/>
  <c r="J25" i="7"/>
  <c r="J24" i="7"/>
  <c r="H24" i="7"/>
  <c r="F24" i="7"/>
  <c r="J21" i="7"/>
  <c r="H21" i="7"/>
  <c r="F21" i="7"/>
  <c r="J20" i="7"/>
  <c r="H20" i="7"/>
  <c r="F20" i="7"/>
  <c r="J19" i="7"/>
  <c r="J18" i="7"/>
  <c r="H18" i="7"/>
  <c r="F18" i="7"/>
  <c r="J17" i="7"/>
  <c r="F17" i="7"/>
  <c r="J16" i="7"/>
  <c r="F80" i="3" l="1"/>
  <c r="C10" i="2"/>
  <c r="C80" i="3"/>
  <c r="F10" i="2"/>
  <c r="E66" i="3"/>
  <c r="D66" i="3"/>
  <c r="C9" i="2"/>
  <c r="J14" i="7"/>
  <c r="J13" i="7"/>
  <c r="H13" i="7"/>
  <c r="G13" i="7"/>
  <c r="F13" i="7"/>
  <c r="J12" i="7"/>
  <c r="H12" i="7"/>
  <c r="F12" i="7"/>
  <c r="J11" i="7"/>
  <c r="J9" i="7"/>
  <c r="F58" i="6" l="1"/>
  <c r="F393" i="6" l="1"/>
  <c r="I91" i="6" l="1"/>
  <c r="C386" i="6"/>
  <c r="E386" i="6" s="1"/>
  <c r="F416" i="6"/>
  <c r="H128" i="6"/>
  <c r="J128" i="6" s="1"/>
  <c r="C16" i="8" l="1"/>
  <c r="E155" i="3"/>
  <c r="E149" i="3"/>
  <c r="E148" i="3"/>
  <c r="E143" i="3"/>
  <c r="E142" i="3"/>
  <c r="E137" i="3"/>
  <c r="E127" i="3"/>
  <c r="E126" i="3"/>
  <c r="E116" i="3"/>
  <c r="E111" i="3"/>
  <c r="E101" i="3"/>
  <c r="E100" i="3"/>
  <c r="E90" i="3"/>
  <c r="E85" i="3"/>
  <c r="E70" i="3"/>
  <c r="E56" i="3"/>
  <c r="E39" i="3"/>
  <c r="E40" i="3"/>
  <c r="E32" i="3"/>
  <c r="E34" i="3"/>
  <c r="E15" i="3"/>
  <c r="E16" i="3"/>
  <c r="E22" i="3"/>
  <c r="F293" i="5"/>
  <c r="F250" i="5"/>
  <c r="D293" i="5" l="1"/>
  <c r="C12" i="4"/>
  <c r="E488" i="6"/>
  <c r="D62" i="4"/>
  <c r="D64" i="4"/>
  <c r="D24" i="4"/>
  <c r="D25" i="4"/>
  <c r="D26" i="4"/>
  <c r="D28" i="4"/>
  <c r="D29" i="4"/>
  <c r="D30" i="4"/>
  <c r="D31" i="4"/>
  <c r="D32" i="4"/>
  <c r="D33" i="4"/>
  <c r="D253" i="5" l="1"/>
  <c r="D250" i="5"/>
  <c r="F226" i="5"/>
  <c r="C226" i="5"/>
  <c r="D95" i="3" l="1"/>
  <c r="D42" i="2"/>
  <c r="D45" i="2"/>
  <c r="D19" i="1" s="1"/>
  <c r="D46" i="2"/>
  <c r="D27" i="2"/>
  <c r="D29" i="2"/>
  <c r="D149" i="3"/>
  <c r="D150" i="3"/>
  <c r="D151" i="3"/>
  <c r="D152" i="3"/>
  <c r="D153" i="3"/>
  <c r="D154" i="3"/>
  <c r="D155" i="3"/>
  <c r="D156" i="3"/>
  <c r="D157" i="3"/>
  <c r="D158" i="3"/>
  <c r="D148" i="3"/>
  <c r="D143" i="3"/>
  <c r="D142" i="3"/>
  <c r="D137" i="3"/>
  <c r="D127" i="3"/>
  <c r="D126" i="3"/>
  <c r="D121" i="3"/>
  <c r="D116" i="3"/>
  <c r="D111" i="3"/>
  <c r="D106" i="3"/>
  <c r="D101" i="3"/>
  <c r="D100" i="3"/>
  <c r="D90" i="3"/>
  <c r="D85" i="3"/>
  <c r="D78" i="3"/>
  <c r="D79" i="3"/>
  <c r="D72" i="3"/>
  <c r="D73" i="3"/>
  <c r="D74" i="3"/>
  <c r="D75" i="3"/>
  <c r="D77" i="3"/>
  <c r="D71" i="3"/>
  <c r="D70" i="3"/>
  <c r="D67" i="3"/>
  <c r="D68" i="3"/>
  <c r="D69" i="3"/>
  <c r="D62" i="3"/>
  <c r="D56" i="3"/>
  <c r="D40" i="3"/>
  <c r="D39" i="3"/>
  <c r="D32" i="3"/>
  <c r="D33" i="3"/>
  <c r="D34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10" i="3"/>
  <c r="D58" i="4"/>
  <c r="D54" i="4"/>
  <c r="E24" i="4"/>
  <c r="E25" i="4"/>
  <c r="E26" i="4"/>
  <c r="E28" i="4"/>
  <c r="E29" i="4"/>
  <c r="E30" i="4"/>
  <c r="E31" i="4"/>
  <c r="E32" i="4"/>
  <c r="E33" i="4"/>
  <c r="D63" i="5"/>
  <c r="D67" i="5"/>
  <c r="D69" i="5"/>
  <c r="D70" i="5"/>
  <c r="D304" i="5"/>
  <c r="D294" i="5"/>
  <c r="D232" i="5"/>
  <c r="D179" i="5"/>
  <c r="D181" i="5"/>
  <c r="D146" i="5"/>
  <c r="D145" i="5"/>
  <c r="D137" i="5"/>
  <c r="D95" i="5"/>
  <c r="C19" i="1"/>
  <c r="C18" i="1"/>
  <c r="I19" i="1"/>
  <c r="C48" i="2"/>
  <c r="C17" i="1" s="1"/>
  <c r="C44" i="2"/>
  <c r="C43" i="2"/>
  <c r="C41" i="2"/>
  <c r="C39" i="2"/>
  <c r="C38" i="2"/>
  <c r="C37" i="2"/>
  <c r="C36" i="2"/>
  <c r="C35" i="2"/>
  <c r="C34" i="2"/>
  <c r="C33" i="2"/>
  <c r="C32" i="2"/>
  <c r="C31" i="2"/>
  <c r="C28" i="2"/>
  <c r="C25" i="2"/>
  <c r="E25" i="2"/>
  <c r="C24" i="2"/>
  <c r="C23" i="2"/>
  <c r="C22" i="2"/>
  <c r="C21" i="2"/>
  <c r="C18" i="2"/>
  <c r="C20" i="2" s="1"/>
  <c r="C11" i="1" s="1"/>
  <c r="E18" i="2"/>
  <c r="C16" i="2"/>
  <c r="C17" i="2" s="1"/>
  <c r="C10" i="1" s="1"/>
  <c r="C13" i="2"/>
  <c r="C12" i="2"/>
  <c r="C11" i="2"/>
  <c r="C8" i="2"/>
  <c r="D41" i="3" l="1"/>
  <c r="C14" i="2"/>
  <c r="C9" i="1" s="1"/>
  <c r="C40" i="2"/>
  <c r="C13" i="1" s="1"/>
  <c r="C47" i="2"/>
  <c r="C16" i="1" s="1"/>
  <c r="C30" i="2"/>
  <c r="C12" i="1" s="1"/>
  <c r="D18" i="2"/>
  <c r="F34" i="2"/>
  <c r="D34" i="2" s="1"/>
  <c r="F39" i="2"/>
  <c r="D39" i="2" s="1"/>
  <c r="F37" i="2"/>
  <c r="D37" i="2" s="1"/>
  <c r="F36" i="2"/>
  <c r="D36" i="2" s="1"/>
  <c r="F35" i="2"/>
  <c r="D35" i="2" s="1"/>
  <c r="F33" i="2"/>
  <c r="D33" i="2" s="1"/>
  <c r="F31" i="2"/>
  <c r="D31" i="2" s="1"/>
  <c r="F25" i="2"/>
  <c r="D25" i="2" s="1"/>
  <c r="F159" i="3"/>
  <c r="C63" i="4"/>
  <c r="C65" i="4"/>
  <c r="C76" i="4"/>
  <c r="I20" i="1" s="1"/>
  <c r="E76" i="4"/>
  <c r="C77" i="4"/>
  <c r="C80" i="4"/>
  <c r="I17" i="1" s="1"/>
  <c r="C79" i="4"/>
  <c r="I18" i="1" s="1"/>
  <c r="C78" i="4"/>
  <c r="I14" i="1" s="1"/>
  <c r="C74" i="4"/>
  <c r="C73" i="4"/>
  <c r="C72" i="4"/>
  <c r="C71" i="4"/>
  <c r="C70" i="4"/>
  <c r="C69" i="4"/>
  <c r="C68" i="4"/>
  <c r="C67" i="4"/>
  <c r="C51" i="4"/>
  <c r="C50" i="4"/>
  <c r="C49" i="4"/>
  <c r="C48" i="4"/>
  <c r="C47" i="4"/>
  <c r="C46" i="4"/>
  <c r="C45" i="4"/>
  <c r="C44" i="4"/>
  <c r="C43" i="4"/>
  <c r="C41" i="4"/>
  <c r="C40" i="4"/>
  <c r="C35" i="4"/>
  <c r="C34" i="4"/>
  <c r="C27" i="4"/>
  <c r="C23" i="4"/>
  <c r="C21" i="4"/>
  <c r="C19" i="4"/>
  <c r="C18" i="4"/>
  <c r="C17" i="4"/>
  <c r="C15" i="4"/>
  <c r="C14" i="4"/>
  <c r="C13" i="4"/>
  <c r="C11" i="4"/>
  <c r="C10" i="4"/>
  <c r="C9" i="4"/>
  <c r="C8" i="4"/>
  <c r="C159" i="3"/>
  <c r="C310" i="5"/>
  <c r="C299" i="5"/>
  <c r="C283" i="5"/>
  <c r="C144" i="3"/>
  <c r="C277" i="5"/>
  <c r="J22" i="7" s="1"/>
  <c r="C133" i="3"/>
  <c r="C138" i="3"/>
  <c r="C271" i="5"/>
  <c r="C128" i="3"/>
  <c r="C263" i="5"/>
  <c r="C243" i="5"/>
  <c r="C238" i="5"/>
  <c r="C220" i="5"/>
  <c r="C117" i="3"/>
  <c r="C215" i="5"/>
  <c r="C112" i="3"/>
  <c r="C189" i="5"/>
  <c r="C163" i="5"/>
  <c r="C155" i="5"/>
  <c r="C102" i="3"/>
  <c r="C149" i="5"/>
  <c r="C141" i="5"/>
  <c r="C121" i="5"/>
  <c r="C111" i="5"/>
  <c r="C15" i="1" l="1"/>
  <c r="C22" i="1" s="1"/>
  <c r="E159" i="3"/>
  <c r="C50" i="2"/>
  <c r="C66" i="4"/>
  <c r="I13" i="1" s="1"/>
  <c r="C22" i="4"/>
  <c r="I10" i="1" s="1"/>
  <c r="C60" i="4"/>
  <c r="I12" i="1" s="1"/>
  <c r="C20" i="4"/>
  <c r="I9" i="1" s="1"/>
  <c r="C75" i="4"/>
  <c r="I16" i="1" s="1"/>
  <c r="I21" i="1"/>
  <c r="F211" i="5"/>
  <c r="F36" i="5"/>
  <c r="F46" i="5"/>
  <c r="E36" i="5" l="1"/>
  <c r="D36" i="5"/>
  <c r="E46" i="5"/>
  <c r="D46" i="5"/>
  <c r="D80" i="4" s="1"/>
  <c r="D211" i="5"/>
  <c r="E211" i="5"/>
  <c r="F41" i="3"/>
  <c r="F86" i="3"/>
  <c r="F102" i="3"/>
  <c r="E102" i="3" s="1"/>
  <c r="F117" i="3"/>
  <c r="F128" i="3"/>
  <c r="E128" i="3" s="1"/>
  <c r="F144" i="3"/>
  <c r="E144" i="3" s="1"/>
  <c r="F174" i="5"/>
  <c r="F252" i="6" l="1"/>
  <c r="F83" i="6"/>
  <c r="F62" i="6"/>
  <c r="F56" i="6"/>
  <c r="F52" i="6"/>
  <c r="F440" i="6" l="1"/>
  <c r="F455" i="6" s="1"/>
  <c r="I69" i="6"/>
  <c r="F269" i="6"/>
  <c r="F256" i="6"/>
  <c r="F261" i="6" s="1"/>
  <c r="I258" i="6"/>
  <c r="I259" i="6"/>
  <c r="I257" i="6"/>
  <c r="I173" i="6"/>
  <c r="I174" i="6"/>
  <c r="I176" i="6"/>
  <c r="I171" i="6"/>
  <c r="I159" i="6"/>
  <c r="I160" i="6"/>
  <c r="I161" i="6"/>
  <c r="I158" i="6"/>
  <c r="I163" i="6" l="1"/>
  <c r="I449" i="6"/>
  <c r="F255" i="5"/>
  <c r="D255" i="5" s="1"/>
  <c r="I260" i="6"/>
  <c r="C268" i="6"/>
  <c r="F105" i="6"/>
  <c r="I71" i="6"/>
  <c r="I75" i="6"/>
  <c r="I77" i="6"/>
  <c r="I80" i="6"/>
  <c r="I230" i="6" l="1"/>
  <c r="I232" i="6"/>
  <c r="F234" i="6"/>
  <c r="I86" i="6"/>
  <c r="I89" i="6"/>
  <c r="I90" i="6"/>
  <c r="I64" i="6"/>
  <c r="F70" i="6"/>
  <c r="I68" i="6"/>
  <c r="I65" i="6"/>
  <c r="I57" i="6"/>
  <c r="I55" i="6"/>
  <c r="I59" i="6"/>
  <c r="I60" i="6"/>
  <c r="I61" i="6"/>
  <c r="I85" i="6"/>
  <c r="I46" i="6"/>
  <c r="I48" i="6"/>
  <c r="I49" i="6"/>
  <c r="I50" i="6"/>
  <c r="I51" i="6"/>
  <c r="I54" i="6"/>
  <c r="I44" i="6"/>
  <c r="F138" i="6"/>
  <c r="E24" i="3" l="1"/>
  <c r="F35" i="3"/>
  <c r="C238" i="6"/>
  <c r="I63" i="6"/>
  <c r="F66" i="6"/>
  <c r="I45" i="6"/>
  <c r="D24" i="3"/>
  <c r="I84" i="6"/>
  <c r="F87" i="6"/>
  <c r="I236" i="6"/>
  <c r="I67" i="6"/>
  <c r="I233" i="6"/>
  <c r="I88" i="6"/>
  <c r="F356" i="6"/>
  <c r="F376" i="6" s="1"/>
  <c r="I238" i="6" l="1"/>
  <c r="H356" i="6"/>
  <c r="C36" i="4" l="1"/>
  <c r="C52" i="4" s="1"/>
  <c r="I11" i="1" s="1"/>
  <c r="I15" i="1" s="1"/>
  <c r="I22" i="1" s="1"/>
  <c r="J10" i="7"/>
  <c r="G275" i="6" l="1"/>
  <c r="C105" i="5"/>
  <c r="C99" i="5"/>
  <c r="C73" i="5"/>
  <c r="C56" i="5"/>
  <c r="C53" i="5"/>
  <c r="C48" i="5"/>
  <c r="C40" i="5"/>
  <c r="J8" i="7" s="1"/>
  <c r="J26" i="7" s="1"/>
  <c r="C20" i="5"/>
  <c r="H8" i="7" s="1"/>
  <c r="C18" i="5"/>
  <c r="F8" i="7" s="1"/>
  <c r="D43" i="5"/>
  <c r="D11" i="5"/>
  <c r="D41" i="5"/>
  <c r="D42" i="5"/>
  <c r="D44" i="5"/>
  <c r="D57" i="5"/>
  <c r="C58" i="5" l="1"/>
  <c r="C314" i="5" s="1"/>
  <c r="D55" i="3"/>
  <c r="D46" i="3"/>
  <c r="D47" i="3"/>
  <c r="D48" i="3"/>
  <c r="D49" i="3"/>
  <c r="D50" i="3"/>
  <c r="D51" i="3"/>
  <c r="D52" i="3"/>
  <c r="D53" i="3"/>
  <c r="D54" i="3"/>
  <c r="H17" i="7" l="1"/>
  <c r="H26" i="7" s="1"/>
  <c r="F11" i="7"/>
  <c r="F26" i="7" s="1"/>
  <c r="F154" i="5"/>
  <c r="D154" i="5" s="1"/>
  <c r="F153" i="5"/>
  <c r="D153" i="5" s="1"/>
  <c r="F109" i="5"/>
  <c r="F87" i="5"/>
  <c r="D87" i="5" s="1"/>
  <c r="F86" i="5"/>
  <c r="F85" i="5"/>
  <c r="D155" i="5" l="1"/>
  <c r="D109" i="5"/>
  <c r="E109" i="5"/>
  <c r="D85" i="5"/>
  <c r="D86" i="5"/>
  <c r="F155" i="5"/>
  <c r="G261" i="6" s="1"/>
  <c r="F68" i="4"/>
  <c r="D68" i="4" l="1"/>
  <c r="F500" i="6"/>
  <c r="F195" i="5"/>
  <c r="D195" i="5" l="1"/>
  <c r="F11" i="4"/>
  <c r="D11" i="4" s="1"/>
  <c r="F200" i="5" l="1"/>
  <c r="C389" i="6"/>
  <c r="E389" i="6" s="1"/>
  <c r="C392" i="6"/>
  <c r="E392" i="6" s="1"/>
  <c r="F502" i="6"/>
  <c r="F508" i="6" s="1"/>
  <c r="F303" i="5"/>
  <c r="F242" i="6"/>
  <c r="F244" i="6" s="1"/>
  <c r="D200" i="5" l="1"/>
  <c r="E200" i="5"/>
  <c r="D303" i="5"/>
  <c r="C498" i="6"/>
  <c r="F175" i="6"/>
  <c r="C129" i="6"/>
  <c r="I87" i="6"/>
  <c r="I52" i="6"/>
  <c r="F13" i="6"/>
  <c r="I175" i="6" l="1"/>
  <c r="I179" i="6" s="1"/>
  <c r="F14" i="6"/>
  <c r="F40" i="6" l="1"/>
  <c r="G42" i="6" s="1"/>
  <c r="D61" i="3"/>
  <c r="E61" i="3"/>
  <c r="E78" i="4"/>
  <c r="E110" i="5"/>
  <c r="D110" i="5"/>
  <c r="D78" i="4" s="1"/>
  <c r="F63" i="4"/>
  <c r="E63" i="4" l="1"/>
  <c r="D63" i="4"/>
  <c r="D12" i="2"/>
  <c r="F107" i="3"/>
  <c r="F16" i="2" s="1"/>
  <c r="D16" i="2" s="1"/>
  <c r="D107" i="3"/>
  <c r="F292" i="5"/>
  <c r="F214" i="5"/>
  <c r="D214" i="5" s="1"/>
  <c r="F213" i="5"/>
  <c r="D213" i="5" s="1"/>
  <c r="F212" i="5"/>
  <c r="G24" i="7" l="1"/>
  <c r="D296" i="5"/>
  <c r="I24" i="7"/>
  <c r="D292" i="5"/>
  <c r="E212" i="5"/>
  <c r="D212" i="5"/>
  <c r="C82" i="4"/>
  <c r="C91" i="3"/>
  <c r="C96" i="3"/>
  <c r="C86" i="3"/>
  <c r="E13" i="2"/>
  <c r="E12" i="2"/>
  <c r="E38" i="2"/>
  <c r="C41" i="3"/>
  <c r="E32" i="2"/>
  <c r="E36" i="2"/>
  <c r="E37" i="2"/>
  <c r="E39" i="2"/>
  <c r="E43" i="2"/>
  <c r="E44" i="2"/>
  <c r="C161" i="3" l="1"/>
  <c r="C54" i="2" s="1"/>
  <c r="E35" i="3"/>
  <c r="C85" i="4"/>
  <c r="D13" i="2"/>
  <c r="F19" i="2"/>
  <c r="D19" i="2" s="1"/>
  <c r="D20" i="2" s="1"/>
  <c r="F15" i="2"/>
  <c r="F44" i="2"/>
  <c r="D44" i="2" s="1"/>
  <c r="F43" i="2"/>
  <c r="D43" i="2" s="1"/>
  <c r="F38" i="2"/>
  <c r="D38" i="2" s="1"/>
  <c r="F32" i="2"/>
  <c r="F28" i="2"/>
  <c r="D28" i="2" s="1"/>
  <c r="F24" i="2"/>
  <c r="D24" i="2" s="1"/>
  <c r="F21" i="2"/>
  <c r="D21" i="2" s="1"/>
  <c r="F40" i="2" l="1"/>
  <c r="E40" i="2" s="1"/>
  <c r="D32" i="2"/>
  <c r="F20" i="2"/>
  <c r="F17" i="2"/>
  <c r="E17" i="2" s="1"/>
  <c r="E41" i="2"/>
  <c r="F256" i="5"/>
  <c r="D256" i="5" l="1"/>
  <c r="E256" i="5"/>
  <c r="F10" i="1"/>
  <c r="F237" i="5"/>
  <c r="F236" i="5"/>
  <c r="E24" i="2"/>
  <c r="E28" i="2"/>
  <c r="E21" i="2"/>
  <c r="F138" i="3"/>
  <c r="E138" i="3" s="1"/>
  <c r="E112" i="3"/>
  <c r="D112" i="3"/>
  <c r="F96" i="3"/>
  <c r="E96" i="3"/>
  <c r="D96" i="3"/>
  <c r="F111" i="5"/>
  <c r="E111" i="5" l="1"/>
  <c r="G203" i="6"/>
  <c r="D10" i="1"/>
  <c r="E10" i="1"/>
  <c r="D236" i="5"/>
  <c r="D237" i="5"/>
  <c r="F41" i="2"/>
  <c r="D41" i="2" s="1"/>
  <c r="D144" i="3"/>
  <c r="D138" i="3"/>
  <c r="F47" i="2" l="1"/>
  <c r="E47" i="2" s="1"/>
  <c r="F11" i="2"/>
  <c r="D11" i="2" s="1"/>
  <c r="D9" i="2"/>
  <c r="F16" i="1" l="1"/>
  <c r="D10" i="2"/>
  <c r="F307" i="5"/>
  <c r="E45" i="3" l="1"/>
  <c r="D45" i="3"/>
  <c r="D80" i="3" s="1"/>
  <c r="D16" i="1"/>
  <c r="E16" i="1"/>
  <c r="E307" i="5"/>
  <c r="D307" i="5"/>
  <c r="F308" i="5"/>
  <c r="F8" i="2"/>
  <c r="F59" i="4"/>
  <c r="D59" i="4" s="1"/>
  <c r="F306" i="5"/>
  <c r="F305" i="5"/>
  <c r="F287" i="5"/>
  <c r="D287" i="5" s="1"/>
  <c r="F298" i="5"/>
  <c r="D298" i="5" s="1"/>
  <c r="F297" i="5"/>
  <c r="F276" i="5"/>
  <c r="F275" i="5"/>
  <c r="F466" i="6"/>
  <c r="K24" i="7" l="1"/>
  <c r="F299" i="5"/>
  <c r="E80" i="3"/>
  <c r="G433" i="6"/>
  <c r="K25" i="7"/>
  <c r="F14" i="2"/>
  <c r="E14" i="2" s="1"/>
  <c r="D8" i="2"/>
  <c r="D14" i="2" s="1"/>
  <c r="F249" i="5"/>
  <c r="D249" i="5" s="1"/>
  <c r="E275" i="5"/>
  <c r="D275" i="5"/>
  <c r="E276" i="5"/>
  <c r="D276" i="5"/>
  <c r="D305" i="5"/>
  <c r="F55" i="4"/>
  <c r="D55" i="4" s="1"/>
  <c r="D308" i="5"/>
  <c r="D297" i="5"/>
  <c r="D299" i="5" s="1"/>
  <c r="D306" i="5"/>
  <c r="F248" i="5"/>
  <c r="E498" i="6"/>
  <c r="F277" i="5"/>
  <c r="E277" i="5" s="1"/>
  <c r="F235" i="5"/>
  <c r="F234" i="5"/>
  <c r="F233" i="5"/>
  <c r="F231" i="5"/>
  <c r="F230" i="5"/>
  <c r="F219" i="5"/>
  <c r="K19" i="7" s="1"/>
  <c r="F381" i="6"/>
  <c r="F204" i="5"/>
  <c r="F196" i="5"/>
  <c r="F197" i="5"/>
  <c r="G466" i="6" l="1"/>
  <c r="E299" i="5"/>
  <c r="G492" i="6"/>
  <c r="K20" i="7"/>
  <c r="F12" i="4"/>
  <c r="D12" i="4" s="1"/>
  <c r="F9" i="1"/>
  <c r="D9" i="1" s="1"/>
  <c r="E249" i="5"/>
  <c r="D234" i="5"/>
  <c r="D196" i="5"/>
  <c r="E196" i="5"/>
  <c r="D230" i="5"/>
  <c r="D235" i="5"/>
  <c r="E219" i="5"/>
  <c r="D219" i="5"/>
  <c r="D220" i="5" s="1"/>
  <c r="D231" i="5"/>
  <c r="D197" i="5"/>
  <c r="E204" i="5"/>
  <c r="D204" i="5"/>
  <c r="D233" i="5"/>
  <c r="E248" i="5"/>
  <c r="D248" i="5"/>
  <c r="D277" i="5"/>
  <c r="K22" i="7"/>
  <c r="G20" i="7"/>
  <c r="I20" i="7"/>
  <c r="F13" i="4"/>
  <c r="D13" i="4" s="1"/>
  <c r="F238" i="5"/>
  <c r="G393" i="6" s="1"/>
  <c r="F220" i="5"/>
  <c r="E220" i="5" s="1"/>
  <c r="F188" i="5"/>
  <c r="D188" i="5" s="1"/>
  <c r="D76" i="4" s="1"/>
  <c r="F187" i="5"/>
  <c r="F186" i="5"/>
  <c r="C328" i="6"/>
  <c r="F183" i="5"/>
  <c r="F171" i="5"/>
  <c r="F159" i="5"/>
  <c r="F186" i="6"/>
  <c r="F226" i="6"/>
  <c r="E268" i="6"/>
  <c r="F148" i="5"/>
  <c r="F147" i="5"/>
  <c r="G381" i="6" l="1"/>
  <c r="E9" i="1"/>
  <c r="E12" i="4"/>
  <c r="D171" i="5"/>
  <c r="E171" i="5"/>
  <c r="D186" i="5"/>
  <c r="D187" i="5"/>
  <c r="D183" i="5"/>
  <c r="F73" i="4"/>
  <c r="D147" i="5"/>
  <c r="E147" i="5"/>
  <c r="E148" i="5"/>
  <c r="D148" i="5"/>
  <c r="E159" i="5"/>
  <c r="D159" i="5"/>
  <c r="D238" i="5"/>
  <c r="I13" i="7"/>
  <c r="K13" i="7"/>
  <c r="F76" i="4"/>
  <c r="F120" i="5"/>
  <c r="F119" i="5"/>
  <c r="F115" i="5"/>
  <c r="G12" i="7" s="1"/>
  <c r="C210" i="6"/>
  <c r="G210" i="6" s="1"/>
  <c r="F97" i="5"/>
  <c r="F84" i="5"/>
  <c r="E84" i="5" s="1"/>
  <c r="F83" i="5"/>
  <c r="F82" i="5"/>
  <c r="F81" i="5"/>
  <c r="F80" i="5"/>
  <c r="F79" i="5"/>
  <c r="F51" i="5"/>
  <c r="F38" i="5"/>
  <c r="E38" i="5" s="1"/>
  <c r="F37" i="5"/>
  <c r="E37" i="5" s="1"/>
  <c r="F31" i="5"/>
  <c r="E31" i="5" s="1"/>
  <c r="F28" i="5"/>
  <c r="F14" i="5"/>
  <c r="D14" i="5" s="1"/>
  <c r="E79" i="5" l="1"/>
  <c r="K10" i="7"/>
  <c r="E73" i="4"/>
  <c r="D73" i="4"/>
  <c r="D80" i="5"/>
  <c r="E80" i="5"/>
  <c r="D115" i="5"/>
  <c r="E115" i="5"/>
  <c r="D81" i="5"/>
  <c r="E81" i="5"/>
  <c r="D97" i="5"/>
  <c r="E97" i="5"/>
  <c r="D119" i="5"/>
  <c r="D149" i="5"/>
  <c r="D51" i="5"/>
  <c r="E51" i="5"/>
  <c r="D82" i="5"/>
  <c r="E82" i="5"/>
  <c r="E104" i="5"/>
  <c r="D104" i="5"/>
  <c r="D77" i="4" s="1"/>
  <c r="D120" i="5"/>
  <c r="D83" i="5"/>
  <c r="E83" i="5"/>
  <c r="D79" i="5"/>
  <c r="F78" i="5"/>
  <c r="F116" i="5"/>
  <c r="I12" i="7" s="1"/>
  <c r="D84" i="5"/>
  <c r="D38" i="5"/>
  <c r="D31" i="5"/>
  <c r="D37" i="5"/>
  <c r="F43" i="4"/>
  <c r="F49" i="4"/>
  <c r="F48" i="4"/>
  <c r="F50" i="4"/>
  <c r="F39" i="4"/>
  <c r="F77" i="4"/>
  <c r="E77" i="4" s="1"/>
  <c r="F15" i="4"/>
  <c r="D15" i="4" s="1"/>
  <c r="E50" i="4" l="1"/>
  <c r="D50" i="4"/>
  <c r="E48" i="4"/>
  <c r="D48" i="4"/>
  <c r="E49" i="4"/>
  <c r="D49" i="4"/>
  <c r="E43" i="4"/>
  <c r="D43" i="4"/>
  <c r="E116" i="5"/>
  <c r="D116" i="5"/>
  <c r="E78" i="5"/>
  <c r="D78" i="5"/>
  <c r="F19" i="1"/>
  <c r="E22" i="2"/>
  <c r="E23" i="2"/>
  <c r="E35" i="2"/>
  <c r="E34" i="2"/>
  <c r="E16" i="2"/>
  <c r="E11" i="2"/>
  <c r="E33" i="2"/>
  <c r="E31" i="2"/>
  <c r="E86" i="3" l="1"/>
  <c r="E48" i="2"/>
  <c r="D18" i="1" l="1"/>
  <c r="D159" i="3" l="1"/>
  <c r="D102" i="3"/>
  <c r="D128" i="3"/>
  <c r="E129" i="6"/>
  <c r="F18" i="1" l="1"/>
  <c r="F168" i="5" l="1"/>
  <c r="D168" i="5" s="1"/>
  <c r="F110" i="6" l="1"/>
  <c r="C243" i="6" l="1"/>
  <c r="E10" i="2" l="1"/>
  <c r="E8" i="2"/>
  <c r="D35" i="3"/>
  <c r="F77" i="5"/>
  <c r="F71" i="5"/>
  <c r="D71" i="5" s="1"/>
  <c r="F88" i="5" l="1"/>
  <c r="G167" i="6" s="1"/>
  <c r="E45" i="5"/>
  <c r="D45" i="5"/>
  <c r="D77" i="5"/>
  <c r="D88" i="5" s="1"/>
  <c r="F79" i="4"/>
  <c r="E79" i="4" s="1"/>
  <c r="E88" i="5" l="1"/>
  <c r="D79" i="4"/>
  <c r="F177" i="6"/>
  <c r="F180" i="6" s="1"/>
  <c r="C152" i="6"/>
  <c r="F72" i="5" s="1"/>
  <c r="D72" i="5" s="1"/>
  <c r="F147" i="6"/>
  <c r="F153" i="6" s="1"/>
  <c r="C179" i="6" l="1"/>
  <c r="E179" i="6" s="1"/>
  <c r="E449" i="6"/>
  <c r="F94" i="5"/>
  <c r="F98" i="5"/>
  <c r="F96" i="5"/>
  <c r="C148" i="6"/>
  <c r="K11" i="7" l="1"/>
  <c r="E96" i="5"/>
  <c r="D96" i="5"/>
  <c r="E98" i="5"/>
  <c r="D98" i="5"/>
  <c r="E94" i="5"/>
  <c r="D94" i="5"/>
  <c r="F353" i="6"/>
  <c r="F80" i="4" l="1"/>
  <c r="E80" i="4" s="1"/>
  <c r="F309" i="5" l="1"/>
  <c r="C476" i="6"/>
  <c r="F476" i="6" s="1"/>
  <c r="F471" i="6"/>
  <c r="F460" i="6"/>
  <c r="F242" i="5"/>
  <c r="H369" i="6"/>
  <c r="F325" i="6"/>
  <c r="F330" i="6" s="1"/>
  <c r="C251" i="6"/>
  <c r="F66" i="5"/>
  <c r="F33" i="5"/>
  <c r="E33" i="5" s="1"/>
  <c r="F32" i="5"/>
  <c r="E32" i="5" s="1"/>
  <c r="I66" i="6"/>
  <c r="I99" i="6" s="1"/>
  <c r="F22" i="5"/>
  <c r="F16" i="5"/>
  <c r="F18" i="4" s="1"/>
  <c r="D18" i="4" s="1"/>
  <c r="F281" i="5"/>
  <c r="F262" i="5"/>
  <c r="D262" i="5" s="1"/>
  <c r="F261" i="5"/>
  <c r="D261" i="5" s="1"/>
  <c r="F259" i="5"/>
  <c r="D259" i="5" s="1"/>
  <c r="F258" i="5"/>
  <c r="F257" i="5"/>
  <c r="F254" i="5"/>
  <c r="F252" i="5"/>
  <c r="F210" i="5"/>
  <c r="F209" i="5"/>
  <c r="F206" i="5"/>
  <c r="F205" i="5"/>
  <c r="F203" i="5"/>
  <c r="F202" i="5"/>
  <c r="F199" i="5"/>
  <c r="F16" i="4" s="1"/>
  <c r="D16" i="4" s="1"/>
  <c r="F198" i="5"/>
  <c r="F194" i="5"/>
  <c r="F193" i="5"/>
  <c r="F182" i="5"/>
  <c r="F177" i="5"/>
  <c r="D177" i="5" s="1"/>
  <c r="F173" i="5"/>
  <c r="D173" i="5" s="1"/>
  <c r="F172" i="5"/>
  <c r="F161" i="5"/>
  <c r="F160" i="5"/>
  <c r="F138" i="5"/>
  <c r="F136" i="5"/>
  <c r="F134" i="5"/>
  <c r="F118" i="5"/>
  <c r="F117" i="5"/>
  <c r="F92" i="5"/>
  <c r="F68" i="5"/>
  <c r="F65" i="5"/>
  <c r="D65" i="5" s="1"/>
  <c r="F64" i="5"/>
  <c r="D64" i="5" s="1"/>
  <c r="F62" i="5"/>
  <c r="F52" i="5"/>
  <c r="F50" i="5"/>
  <c r="E50" i="5" s="1"/>
  <c r="F49" i="5"/>
  <c r="E49" i="5" s="1"/>
  <c r="F47" i="5"/>
  <c r="F39" i="5"/>
  <c r="D39" i="5" s="1"/>
  <c r="F30" i="5"/>
  <c r="F27" i="5"/>
  <c r="F26" i="5"/>
  <c r="F24" i="5"/>
  <c r="F23" i="5"/>
  <c r="F34" i="4" s="1"/>
  <c r="F21" i="5"/>
  <c r="F17" i="5"/>
  <c r="E17" i="5" s="1"/>
  <c r="F13" i="5"/>
  <c r="D13" i="5" s="1"/>
  <c r="L18" i="1"/>
  <c r="F122" i="3"/>
  <c r="D122" i="3"/>
  <c r="E117" i="3"/>
  <c r="D117" i="3"/>
  <c r="F91" i="3"/>
  <c r="F161" i="3" s="1"/>
  <c r="E91" i="3"/>
  <c r="D91" i="3"/>
  <c r="D86" i="3"/>
  <c r="E41" i="3"/>
  <c r="F48" i="2"/>
  <c r="D48" i="2" s="1"/>
  <c r="F26" i="2"/>
  <c r="D26" i="2" s="1"/>
  <c r="F23" i="2"/>
  <c r="D23" i="2" s="1"/>
  <c r="F22" i="2"/>
  <c r="G11" i="7" l="1"/>
  <c r="F99" i="5"/>
  <c r="G180" i="6" s="1"/>
  <c r="C326" i="6"/>
  <c r="E326" i="6" s="1"/>
  <c r="K12" i="7"/>
  <c r="E21" i="5"/>
  <c r="K18" i="7"/>
  <c r="D62" i="5"/>
  <c r="K9" i="7"/>
  <c r="G18" i="7"/>
  <c r="K21" i="7"/>
  <c r="E22" i="5"/>
  <c r="F27" i="4"/>
  <c r="E30" i="5"/>
  <c r="F170" i="5"/>
  <c r="D170" i="5" s="1"/>
  <c r="F30" i="2"/>
  <c r="E30" i="2" s="1"/>
  <c r="D22" i="2"/>
  <c r="E161" i="3"/>
  <c r="D23" i="5"/>
  <c r="E23" i="5"/>
  <c r="D118" i="5"/>
  <c r="D160" i="5"/>
  <c r="E160" i="5"/>
  <c r="D198" i="5"/>
  <c r="E198" i="5"/>
  <c r="E203" i="5"/>
  <c r="D203" i="5"/>
  <c r="E209" i="5"/>
  <c r="D209" i="5"/>
  <c r="E257" i="5"/>
  <c r="D257" i="5"/>
  <c r="D180" i="5"/>
  <c r="E180" i="5"/>
  <c r="D242" i="5"/>
  <c r="D243" i="5" s="1"/>
  <c r="E242" i="5"/>
  <c r="F310" i="5"/>
  <c r="D309" i="5"/>
  <c r="D310" i="5" s="1"/>
  <c r="D24" i="5"/>
  <c r="E24" i="5"/>
  <c r="D52" i="5"/>
  <c r="E52" i="5"/>
  <c r="E68" i="5"/>
  <c r="D68" i="5"/>
  <c r="E134" i="5"/>
  <c r="D134" i="5"/>
  <c r="E161" i="5"/>
  <c r="D161" i="5"/>
  <c r="D182" i="5"/>
  <c r="E182" i="5"/>
  <c r="E199" i="5"/>
  <c r="D199" i="5"/>
  <c r="E205" i="5"/>
  <c r="D205" i="5"/>
  <c r="E210" i="5"/>
  <c r="D210" i="5"/>
  <c r="E258" i="5"/>
  <c r="D258" i="5"/>
  <c r="F48" i="5"/>
  <c r="E48" i="5" s="1"/>
  <c r="D47" i="5"/>
  <c r="D48" i="5" s="1"/>
  <c r="E172" i="5"/>
  <c r="D172" i="5"/>
  <c r="D252" i="5"/>
  <c r="E252" i="5"/>
  <c r="K18" i="1"/>
  <c r="J18" i="1"/>
  <c r="E92" i="5"/>
  <c r="D92" i="5"/>
  <c r="D99" i="5" s="1"/>
  <c r="E136" i="5"/>
  <c r="D136" i="5"/>
  <c r="E193" i="5"/>
  <c r="D193" i="5"/>
  <c r="E206" i="5"/>
  <c r="D206" i="5"/>
  <c r="D34" i="5"/>
  <c r="E34" i="5"/>
  <c r="E176" i="5"/>
  <c r="D176" i="5"/>
  <c r="E207" i="5"/>
  <c r="D207" i="5"/>
  <c r="D117" i="5"/>
  <c r="E138" i="5"/>
  <c r="D138" i="5"/>
  <c r="D194" i="5"/>
  <c r="E194" i="5"/>
  <c r="D202" i="5"/>
  <c r="E202" i="5"/>
  <c r="E208" i="5"/>
  <c r="D208" i="5"/>
  <c r="E254" i="5"/>
  <c r="D254" i="5"/>
  <c r="E66" i="5"/>
  <c r="D66" i="5"/>
  <c r="D16" i="5"/>
  <c r="E16" i="5"/>
  <c r="D33" i="5"/>
  <c r="F45" i="4"/>
  <c r="D17" i="5"/>
  <c r="F19" i="4"/>
  <c r="D19" i="4" s="1"/>
  <c r="F40" i="4"/>
  <c r="D22" i="5"/>
  <c r="F53" i="5"/>
  <c r="E53" i="5" s="1"/>
  <c r="F25" i="5"/>
  <c r="D21" i="5"/>
  <c r="D32" i="5"/>
  <c r="D49" i="5"/>
  <c r="D30" i="5"/>
  <c r="D50" i="5"/>
  <c r="F46" i="4"/>
  <c r="F69" i="4"/>
  <c r="F10" i="4"/>
  <c r="D10" i="4" s="1"/>
  <c r="F44" i="4"/>
  <c r="D111" i="5"/>
  <c r="F35" i="4"/>
  <c r="F37" i="4"/>
  <c r="F23" i="4"/>
  <c r="D23" i="4" s="1"/>
  <c r="F38" i="4"/>
  <c r="F67" i="4"/>
  <c r="I17" i="7"/>
  <c r="F56" i="4"/>
  <c r="D56" i="4" s="1"/>
  <c r="K17" i="7"/>
  <c r="L17" i="1"/>
  <c r="F135" i="5"/>
  <c r="E238" i="6"/>
  <c r="D47" i="2"/>
  <c r="E9" i="2"/>
  <c r="F29" i="5"/>
  <c r="D161" i="3"/>
  <c r="F288" i="5"/>
  <c r="D288" i="5"/>
  <c r="F243" i="5"/>
  <c r="F51" i="4"/>
  <c r="F81" i="4"/>
  <c r="L20" i="1"/>
  <c r="J20" i="1" s="1"/>
  <c r="F17" i="1"/>
  <c r="F11" i="1"/>
  <c r="D11" i="1" s="1"/>
  <c r="F103" i="5"/>
  <c r="F105" i="5" s="1"/>
  <c r="F162" i="5"/>
  <c r="F73" i="5"/>
  <c r="E251" i="6"/>
  <c r="F139" i="5"/>
  <c r="F185" i="5"/>
  <c r="E452" i="6"/>
  <c r="F452" i="6"/>
  <c r="F260" i="5" s="1"/>
  <c r="D260" i="5" s="1"/>
  <c r="F184" i="5"/>
  <c r="F477" i="6"/>
  <c r="F282" i="5"/>
  <c r="F53" i="4"/>
  <c r="D53" i="4" s="1"/>
  <c r="F201" i="5"/>
  <c r="I18" i="7" s="1"/>
  <c r="F132" i="6"/>
  <c r="E148" i="6"/>
  <c r="F65" i="4"/>
  <c r="F140" i="5"/>
  <c r="E310" i="5" l="1"/>
  <c r="G508" i="6"/>
  <c r="E73" i="5"/>
  <c r="G153" i="6"/>
  <c r="E243" i="5"/>
  <c r="G416" i="6"/>
  <c r="F19" i="5"/>
  <c r="F134" i="6"/>
  <c r="F42" i="4"/>
  <c r="F14" i="4"/>
  <c r="E170" i="5"/>
  <c r="D140" i="5"/>
  <c r="F74" i="4"/>
  <c r="F141" i="5"/>
  <c r="C133" i="6"/>
  <c r="E133" i="6" s="1"/>
  <c r="E17" i="1"/>
  <c r="D17" i="1"/>
  <c r="E65" i="4"/>
  <c r="D65" i="4"/>
  <c r="E18" i="4"/>
  <c r="E69" i="4"/>
  <c r="D69" i="4"/>
  <c r="E46" i="4"/>
  <c r="D46" i="4"/>
  <c r="E40" i="4"/>
  <c r="D40" i="4"/>
  <c r="E45" i="4"/>
  <c r="D45" i="4"/>
  <c r="D51" i="4"/>
  <c r="E44" i="4"/>
  <c r="D44" i="4"/>
  <c r="E34" i="4"/>
  <c r="D34" i="4"/>
  <c r="E19" i="4"/>
  <c r="E67" i="4"/>
  <c r="D67" i="4"/>
  <c r="E35" i="4"/>
  <c r="D35" i="4"/>
  <c r="E10" i="4"/>
  <c r="E16" i="4"/>
  <c r="D60" i="4"/>
  <c r="F71" i="4"/>
  <c r="E185" i="5"/>
  <c r="D185" i="5"/>
  <c r="F41" i="4"/>
  <c r="E29" i="5"/>
  <c r="E201" i="5"/>
  <c r="D201" i="5"/>
  <c r="D215" i="5" s="1"/>
  <c r="F70" i="4"/>
  <c r="D184" i="5"/>
  <c r="E184" i="5"/>
  <c r="D162" i="5"/>
  <c r="D163" i="5" s="1"/>
  <c r="E162" i="5"/>
  <c r="D135" i="5"/>
  <c r="E135" i="5"/>
  <c r="E23" i="4"/>
  <c r="F36" i="4"/>
  <c r="E25" i="5"/>
  <c r="F72" i="4"/>
  <c r="D139" i="5"/>
  <c r="D103" i="5"/>
  <c r="D105" i="5" s="1"/>
  <c r="J17" i="1"/>
  <c r="K17" i="1"/>
  <c r="D174" i="5"/>
  <c r="E174" i="5"/>
  <c r="E178" i="5"/>
  <c r="D178" i="5"/>
  <c r="D25" i="5"/>
  <c r="D73" i="5"/>
  <c r="D53" i="5"/>
  <c r="D29" i="5"/>
  <c r="D40" i="2"/>
  <c r="F215" i="5"/>
  <c r="F15" i="5"/>
  <c r="F60" i="4"/>
  <c r="E60" i="4" s="1"/>
  <c r="D121" i="5"/>
  <c r="K14" i="7"/>
  <c r="F50" i="2"/>
  <c r="E50" i="2" s="1"/>
  <c r="E288" i="6"/>
  <c r="D30" i="2"/>
  <c r="E432" i="6"/>
  <c r="F163" i="5"/>
  <c r="G269" i="6" s="1"/>
  <c r="F12" i="1"/>
  <c r="D17" i="2"/>
  <c r="F13" i="1"/>
  <c r="F61" i="4"/>
  <c r="D61" i="4" s="1"/>
  <c r="L19" i="1"/>
  <c r="J19" i="1" s="1"/>
  <c r="L21" i="1"/>
  <c r="F121" i="5"/>
  <c r="F283" i="5"/>
  <c r="D283" i="5"/>
  <c r="L14" i="1"/>
  <c r="F167" i="5"/>
  <c r="G17" i="7" s="1"/>
  <c r="F247" i="5"/>
  <c r="G21" i="7" s="1"/>
  <c r="F55" i="5"/>
  <c r="D55" i="5" s="1"/>
  <c r="F54" i="5"/>
  <c r="F10" i="5"/>
  <c r="E141" i="5" l="1"/>
  <c r="G244" i="6"/>
  <c r="E215" i="5"/>
  <c r="G376" i="6"/>
  <c r="E105" i="5"/>
  <c r="G186" i="6"/>
  <c r="E121" i="5"/>
  <c r="G216" i="6"/>
  <c r="F512" i="6"/>
  <c r="F514" i="6" s="1"/>
  <c r="E14" i="4"/>
  <c r="D14" i="4"/>
  <c r="E74" i="4"/>
  <c r="D74" i="4"/>
  <c r="D50" i="2"/>
  <c r="D54" i="2" s="1"/>
  <c r="E13" i="1"/>
  <c r="D13" i="1"/>
  <c r="E12" i="1"/>
  <c r="D12" i="1"/>
  <c r="E27" i="4"/>
  <c r="D27" i="4"/>
  <c r="E71" i="4"/>
  <c r="D71" i="4"/>
  <c r="E42" i="4"/>
  <c r="D42" i="4"/>
  <c r="E36" i="4"/>
  <c r="D36" i="4"/>
  <c r="E70" i="4"/>
  <c r="D70" i="4"/>
  <c r="E41" i="4"/>
  <c r="D41" i="4"/>
  <c r="D72" i="4"/>
  <c r="F75" i="4"/>
  <c r="E75" i="4" s="1"/>
  <c r="K16" i="7"/>
  <c r="E163" i="5"/>
  <c r="J14" i="1"/>
  <c r="K14" i="1"/>
  <c r="J21" i="1"/>
  <c r="K21" i="1"/>
  <c r="D15" i="5"/>
  <c r="E15" i="5"/>
  <c r="F189" i="5"/>
  <c r="D167" i="5"/>
  <c r="D189" i="5" s="1"/>
  <c r="E167" i="5"/>
  <c r="E10" i="5"/>
  <c r="D10" i="5"/>
  <c r="F8" i="4"/>
  <c r="E247" i="5"/>
  <c r="D247" i="5"/>
  <c r="F18" i="5"/>
  <c r="D54" i="5"/>
  <c r="D56" i="5" s="1"/>
  <c r="F56" i="5"/>
  <c r="F17" i="4"/>
  <c r="D17" i="4" s="1"/>
  <c r="F251" i="5"/>
  <c r="D141" i="5"/>
  <c r="F9" i="4"/>
  <c r="D9" i="4" s="1"/>
  <c r="K23" i="7"/>
  <c r="F15" i="1"/>
  <c r="E15" i="1" s="1"/>
  <c r="F54" i="2"/>
  <c r="D66" i="4"/>
  <c r="F66" i="4"/>
  <c r="E66" i="4" s="1"/>
  <c r="L12" i="1"/>
  <c r="J12" i="1" s="1"/>
  <c r="F149" i="5"/>
  <c r="E149" i="5" l="1"/>
  <c r="G252" i="6"/>
  <c r="E189" i="5"/>
  <c r="G330" i="6"/>
  <c r="D15" i="1"/>
  <c r="D22" i="1" s="1"/>
  <c r="F263" i="5"/>
  <c r="G455" i="6" s="1"/>
  <c r="F21" i="4"/>
  <c r="D21" i="4" s="1"/>
  <c r="F40" i="5"/>
  <c r="K8" i="7" s="1"/>
  <c r="K26" i="7" s="1"/>
  <c r="E18" i="5"/>
  <c r="G8" i="7"/>
  <c r="G26" i="7" s="1"/>
  <c r="E17" i="4"/>
  <c r="E9" i="4"/>
  <c r="E8" i="4"/>
  <c r="D8" i="4"/>
  <c r="E35" i="5"/>
  <c r="E19" i="5"/>
  <c r="E251" i="5"/>
  <c r="D251" i="5"/>
  <c r="D263" i="5" s="1"/>
  <c r="D18" i="5"/>
  <c r="K12" i="1"/>
  <c r="D19" i="5"/>
  <c r="F20" i="5"/>
  <c r="I8" i="7" s="1"/>
  <c r="D35" i="5"/>
  <c r="F20" i="4"/>
  <c r="I21" i="7"/>
  <c r="F164" i="3"/>
  <c r="F47" i="4"/>
  <c r="D47" i="4" s="1"/>
  <c r="L13" i="1"/>
  <c r="E40" i="5" l="1"/>
  <c r="I26" i="7"/>
  <c r="E263" i="5"/>
  <c r="D20" i="4"/>
  <c r="J13" i="1"/>
  <c r="K13" i="1"/>
  <c r="D40" i="5"/>
  <c r="D52" i="4"/>
  <c r="E20" i="4"/>
  <c r="L9" i="1"/>
  <c r="K9" i="1" s="1"/>
  <c r="F58" i="5"/>
  <c r="G134" i="6" s="1"/>
  <c r="E20" i="5"/>
  <c r="D20" i="5"/>
  <c r="D22" i="4"/>
  <c r="F22" i="4"/>
  <c r="E22" i="4" s="1"/>
  <c r="E21" i="4"/>
  <c r="E47" i="4"/>
  <c r="F52" i="4"/>
  <c r="E52" i="4" s="1"/>
  <c r="D75" i="4"/>
  <c r="F22" i="1"/>
  <c r="E22" i="1" s="1"/>
  <c r="L16" i="1"/>
  <c r="J16" i="1" s="1"/>
  <c r="E99" i="5"/>
  <c r="E58" i="5" l="1"/>
  <c r="F314" i="5"/>
  <c r="F82" i="4"/>
  <c r="E82" i="4" s="1"/>
  <c r="D58" i="5"/>
  <c r="D314" i="5" s="1"/>
  <c r="L10" i="1"/>
  <c r="K10" i="1" s="1"/>
  <c r="D82" i="4"/>
  <c r="K16" i="1"/>
  <c r="L11" i="1"/>
  <c r="D85" i="4" l="1"/>
  <c r="J10" i="1"/>
  <c r="K11" i="1"/>
  <c r="J11" i="1"/>
  <c r="E314" i="5" l="1"/>
  <c r="F316" i="5" l="1"/>
  <c r="F85" i="4"/>
  <c r="L15" i="1"/>
  <c r="J9" i="1"/>
  <c r="L22" i="1" l="1"/>
  <c r="K22" i="1" s="1"/>
  <c r="K15" i="1"/>
  <c r="J15" i="1"/>
  <c r="J22" i="1" s="1"/>
  <c r="F27" i="1" l="1"/>
</calcChain>
</file>

<file path=xl/sharedStrings.xml><?xml version="1.0" encoding="utf-8"?>
<sst xmlns="http://schemas.openxmlformats.org/spreadsheetml/2006/main" count="2062" uniqueCount="739">
  <si>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</si>
  <si>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</si>
  <si>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</si>
  <si>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</si>
  <si>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</si>
  <si>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</si>
  <si>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</si>
  <si>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</si>
  <si>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</si>
  <si>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</si>
  <si>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</si>
  <si>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</si>
  <si>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</si>
  <si>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</si>
  <si>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</si>
  <si>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</si>
  <si>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</si>
  <si>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</si>
  <si>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</si>
  <si>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</si>
  <si>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</si>
  <si>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</si>
  <si>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</si>
  <si>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</si>
  <si>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</si>
  <si>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</si>
  <si>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</si>
  <si>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</si>
  <si>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</si>
  <si>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</si>
  <si>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</si>
  <si>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</si>
  <si>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</si>
  <si>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</si>
  <si>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</si>
  <si>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</si>
  <si>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</si>
  <si>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</si>
  <si>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</si>
  <si>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</si>
  <si>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EU-s pályázati visszafizetés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</si>
  <si>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</si>
  <si>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</si>
  <si>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</si>
  <si>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</si>
  <si>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</si>
  <si>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</si>
  <si>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</si>
  <si>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</si>
  <si>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</si>
  <si>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</si>
  <si>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</si>
  <si>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</si>
  <si>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091131</t>
  </si>
  <si>
    <t>Települési önkormányzatok szociális, gyermekjóléti és gyermekétkeztetési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</si>
  <si>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</si>
  <si>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</si>
  <si>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</si>
  <si>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</si>
  <si>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</si>
  <si>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0916071</t>
  </si>
  <si>
    <t>Egyéb működési célú támogatások bevételei államháztartáson belülről-helyi önkormányzatok és költségvetési szerveik</t>
  </si>
  <si>
    <t>09161</t>
  </si>
  <si>
    <t>Egyéb működési célú támogatások bevételei államháztartáson belülről</t>
  </si>
  <si>
    <t>0916   Egyéb működési célú támogatások bevételei ÁH-on belülről</t>
  </si>
  <si>
    <t>09213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</si>
  <si>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</si>
  <si>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</si>
  <si>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</si>
  <si>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</si>
  <si>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</si>
  <si>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</si>
  <si>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0936112</t>
  </si>
  <si>
    <t>Szabálysértési pénz- és helyszíni bírság és a közlekedési szabályszegések után kiszabott közigazgatási bírság helyi önkormányzatot megillető része</t>
  </si>
  <si>
    <t>0936121</t>
  </si>
  <si>
    <t>Egyéb bírság</t>
  </si>
  <si>
    <t>0936162</t>
  </si>
  <si>
    <t>Egyéb közhatalmi bevétel</t>
  </si>
  <si>
    <t>0936172</t>
  </si>
  <si>
    <t>Késedelmi és önellenőrzési pótlék</t>
  </si>
  <si>
    <t>09362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</si>
  <si>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</si>
  <si>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</si>
  <si>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</si>
  <si>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</si>
  <si>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</si>
  <si>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</si>
  <si>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</si>
  <si>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</si>
  <si>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</si>
  <si>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</si>
  <si>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094071</t>
  </si>
  <si>
    <t>Általános forgalmi adó visszatérítése</t>
  </si>
  <si>
    <t>094082</t>
  </si>
  <si>
    <t>Kamatbevételek</t>
  </si>
  <si>
    <t>094111</t>
  </si>
  <si>
    <t>Egyéb működési bevételek</t>
  </si>
  <si>
    <t>0941142</t>
  </si>
  <si>
    <t>1 és 2 forintos érmék forgalomból történő kivonása miatti kerekítési különbözet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</si>
  <si>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</si>
  <si>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</si>
  <si>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</si>
  <si>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</si>
  <si>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</si>
  <si>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0965091</t>
  </si>
  <si>
    <t>Egyéb működési célú átvett pénzeszközök-Európai Unió</t>
  </si>
  <si>
    <t>Egyéb felhalmozási célú átvett pénzeszközök-háztartások</t>
  </si>
  <si>
    <t>0925031</t>
  </si>
  <si>
    <t>Egyéb felhalmozási célú támogatások bevételei államháztartáson belülről-fejezeti kezelésű előirányzatok EU-s programok és azok hazai társfinanszírozása</t>
  </si>
  <si>
    <t>0952 Felhalmozási bevételek</t>
  </si>
  <si>
    <t>0981311</t>
  </si>
  <si>
    <t>Előző év költségvetési maradványának igénybevétele</t>
  </si>
  <si>
    <t>Bevételek összesen</t>
  </si>
  <si>
    <t>I/2.a) számú melléklet</t>
  </si>
  <si>
    <t>Bevételek kormányati funkciók (COFOG) szerinti bontásban</t>
  </si>
  <si>
    <t>011130 - Önkormányzatok és önkormányzati hivatalok jogalkotó és általános igazgatási tevékenysége</t>
  </si>
  <si>
    <t>09361</t>
  </si>
  <si>
    <t>Egyéb bírság bevételei (Vízmű)</t>
  </si>
  <si>
    <t>09363</t>
  </si>
  <si>
    <t>094062</t>
  </si>
  <si>
    <t>Bevétel összesen:</t>
  </si>
  <si>
    <t>013320 - Köztemető-fenntartás és -működtetés</t>
  </si>
  <si>
    <t>018010 - Önkormányzatok elszámolásai a központi költségvetéssel</t>
  </si>
  <si>
    <t>ebből: zöldterület-gazdálkodással kapcsolatos feladatok ellátásának támogatása</t>
  </si>
  <si>
    <t>ebből: közvilágítás fenntartásának támogatása</t>
  </si>
  <si>
    <t>ebből: köztemető fenntartással kapcs. feladatok támog.</t>
  </si>
  <si>
    <t>ebből: közutak fenntartásának támogatása</t>
  </si>
  <si>
    <t>ebből: polgármesteri illetmény támogatása</t>
  </si>
  <si>
    <t>Települési önkormányzatok egyes köznevelési feladatainak támogatása (óvoda fenntartás)</t>
  </si>
  <si>
    <t>ebből: szociális feladatok egyéb támogatása</t>
  </si>
  <si>
    <t>ebből: finanszírozás szempontjából elismert dolgozók bértámogatása</t>
  </si>
  <si>
    <t>ebből: gyermekétkeztetés üzemeltetési támogatása</t>
  </si>
  <si>
    <t>ebből: rászoruló gyermekek szünidei étekztetésének tám.</t>
  </si>
  <si>
    <t>018030 - Támogatási célú finanszírozási műveletek</t>
  </si>
  <si>
    <t>052020 - Szennyvíz gyűjtése, tisztítása, elhelyezése</t>
  </si>
  <si>
    <t>074031 - Család és nővédelmi egészségügyi gondozás</t>
  </si>
  <si>
    <t>Egyéb működési célú támogatások bevételei államháztartáson belülről (OEP védőnő)</t>
  </si>
  <si>
    <t>096015 - Gyermekétkeztetés köznevelési intézményben</t>
  </si>
  <si>
    <t>900020 - Önkormányzatok funkcióira nem sorolható bevételei államháztartáson kívülről</t>
  </si>
  <si>
    <t>104051 - Gyermekvédelmi pénzbeli és természetbeni ellátások</t>
  </si>
  <si>
    <t>Összes COFOG szerinti bevétel:</t>
  </si>
  <si>
    <t>I/3. számú melléklet</t>
  </si>
  <si>
    <t>05110111</t>
  </si>
  <si>
    <t>Köztisztviselők,közalkalmazottak bére</t>
  </si>
  <si>
    <t>05110131</t>
  </si>
  <si>
    <t>MT alapján teljes, részmunkaidős bére</t>
  </si>
  <si>
    <t>0511091</t>
  </si>
  <si>
    <t>Közlekedési költségtérítés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</si>
  <si>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</si>
  <si>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</si>
  <si>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</si>
  <si>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</si>
  <si>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</si>
  <si>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</si>
  <si>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</si>
  <si>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</si>
  <si>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</si>
  <si>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</si>
  <si>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</si>
  <si>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</si>
  <si>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05261</t>
  </si>
  <si>
    <t>Más járulék fizetési kötelezettség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</si>
  <si>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</si>
  <si>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</si>
  <si>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</si>
  <si>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</si>
  <si>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</si>
  <si>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</si>
  <si>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</si>
  <si>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</si>
  <si>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</si>
  <si>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</si>
  <si>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</si>
  <si>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</si>
  <si>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</si>
  <si>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</si>
  <si>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</si>
  <si>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</si>
  <si>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</si>
  <si>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</si>
  <si>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</si>
  <si>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</si>
  <si>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</si>
  <si>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</si>
  <si>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</si>
  <si>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</si>
  <si>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</si>
  <si>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</si>
  <si>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</si>
  <si>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0533111</t>
  </si>
  <si>
    <t>ebből: villamos energia</t>
  </si>
  <si>
    <t>0533121</t>
  </si>
  <si>
    <t>ebből: gázdíj</t>
  </si>
  <si>
    <t>0533131</t>
  </si>
  <si>
    <t>ebből: víz- és csatornadíj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</si>
  <si>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</si>
  <si>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</si>
  <si>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</si>
  <si>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</si>
  <si>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</si>
  <si>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</si>
  <si>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</si>
  <si>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</si>
  <si>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0533621</t>
  </si>
  <si>
    <t>Más szakmai tevékenység</t>
  </si>
  <si>
    <t>053371</t>
  </si>
  <si>
    <t>Egyéb szolgáltatások</t>
  </si>
  <si>
    <t>Postaköltség</t>
  </si>
  <si>
    <t>Biztosítási díjak</t>
  </si>
  <si>
    <t>0533791</t>
  </si>
  <si>
    <t>Más 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</si>
  <si>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</si>
  <si>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</si>
  <si>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</si>
  <si>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</si>
  <si>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</si>
  <si>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</si>
  <si>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</si>
  <si>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</si>
  <si>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</si>
  <si>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</si>
  <si>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0535531</t>
  </si>
  <si>
    <t>1 és 2 forintos érmék kerekítési különbözete</t>
  </si>
  <si>
    <t>05421</t>
  </si>
  <si>
    <t>Egyéb pénzbeni és természetbeni gyermekvédelmi ell.</t>
  </si>
  <si>
    <t>05471</t>
  </si>
  <si>
    <t>Intézményi ellátottak pénzbeli juttatásai</t>
  </si>
  <si>
    <t>0548</t>
  </si>
  <si>
    <t>054831</t>
  </si>
  <si>
    <t>Egyéb, Önkormányzat rendeletében megállapított juttatás</t>
  </si>
  <si>
    <t>054851</t>
  </si>
  <si>
    <t>054861</t>
  </si>
  <si>
    <t>Temetési segély [Szoctv. 46. §]</t>
  </si>
  <si>
    <t>055061</t>
  </si>
  <si>
    <t>0550211</t>
  </si>
  <si>
    <t>A helyi önkormányzatok előző évi elszámolásából származó kiadások</t>
  </si>
  <si>
    <t>05506071</t>
  </si>
  <si>
    <t>Egyéb működési célú támogatások államháztartáson belülre-helyi önkormányzatok és költségvetési szerveik</t>
  </si>
  <si>
    <t>Egyéb működési célú támogatások ÁH-on belülre</t>
  </si>
  <si>
    <t>055081</t>
  </si>
  <si>
    <t>Működési célú visszatérítendő támogatások, kölcsönök nyújtása államháztartáson kívülre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</si>
  <si>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</si>
  <si>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</si>
  <si>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</si>
  <si>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</si>
  <si>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</si>
  <si>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</si>
  <si>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</si>
  <si>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</si>
  <si>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</si>
  <si>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</si>
  <si>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</si>
  <si>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</si>
  <si>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</si>
  <si>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</si>
  <si>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</si>
  <si>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</si>
  <si>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</si>
  <si>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</si>
  <si>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</si>
  <si>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05841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</si>
  <si>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</si>
  <si>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</si>
  <si>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</si>
  <si>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</si>
  <si>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</si>
  <si>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</si>
  <si>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I/3.a) számú melléklet</t>
  </si>
  <si>
    <t>Kiadások kormányati funkciók (COFOG) szerinti bontásban</t>
  </si>
  <si>
    <t>Törvény szerinti illetmények</t>
  </si>
  <si>
    <t>Villamos energia</t>
  </si>
  <si>
    <t>Gázdíj</t>
  </si>
  <si>
    <t>05341</t>
  </si>
  <si>
    <t>Működési célú előzetesen felszámított általános forgalmi adó</t>
  </si>
  <si>
    <t>Egyéb működési célú támogatások államháztartáson belülre</t>
  </si>
  <si>
    <t>Működési célú vissza nem térítendő támogatások, kölcsönök nyújtása államháztartáson kívülre</t>
  </si>
  <si>
    <t>Tartalékok</t>
  </si>
  <si>
    <t>Tartalékok (elköt. pénzmaradv. terhére)</t>
  </si>
  <si>
    <t>Beruházási célú előzetesen felszámított általános forgalmi adó</t>
  </si>
  <si>
    <t>Felújítási célú előzetesen felszámított általános forgalmi adó</t>
  </si>
  <si>
    <t xml:space="preserve">Fejezeti kezelésű EI-nak EU-s programokra nyújtott felhalmozási célú támogatás </t>
  </si>
  <si>
    <t>Kiadás összesen:</t>
  </si>
  <si>
    <t>Víz- és csatornadíj</t>
  </si>
  <si>
    <t>Beruházás</t>
  </si>
  <si>
    <t>013350 - Az önkormányzati vagyonnal való gazdálkodással kapcsolatos feladatok</t>
  </si>
  <si>
    <t>016080 - Kiemelt állami és önkormányzati rendezvények</t>
  </si>
  <si>
    <t>Helyi önkormányzatok előző évi elszámolásából származó kiadások</t>
  </si>
  <si>
    <t>045160 - Közutak, hidak, alagutak üzemeltetése, fenntartása</t>
  </si>
  <si>
    <t>064010 - Közvilágítás</t>
  </si>
  <si>
    <t>066020 - Város-, községgazdálkodási egyéb szolgáltatások</t>
  </si>
  <si>
    <t>Közüzemi díjak</t>
  </si>
  <si>
    <t>0511021</t>
  </si>
  <si>
    <t>Normatív jutalmak</t>
  </si>
  <si>
    <t>051113</t>
  </si>
  <si>
    <t>053411</t>
  </si>
  <si>
    <t>Kiküldetések kiadásai</t>
  </si>
  <si>
    <t>053552</t>
  </si>
  <si>
    <t>084031 - Civil szervezetek működési támogatása</t>
  </si>
  <si>
    <t>Egyéb működési célú támogatások államháztartáson kívülre</t>
  </si>
  <si>
    <t>05713</t>
  </si>
  <si>
    <t>05743</t>
  </si>
  <si>
    <t>104037 - Intézményen kívüli gyermekétkeztetés</t>
  </si>
  <si>
    <t>Egyéb pénzbeni és természetbeni gyermekvédelmi támogatások kiadásai</t>
  </si>
  <si>
    <t>Egyéb, az Önkormányzat rendeletében megállapított juttatás</t>
  </si>
  <si>
    <t>107060 - Egyéb szociális pénzbeli és természetbeni ellátások, támogatások</t>
  </si>
  <si>
    <t>Egyéb üzemeltetési anyagok - szoc.tüzifa</t>
  </si>
  <si>
    <t>Egyéb szolgáltatások - szoc. tüzifa szállítási díj</t>
  </si>
  <si>
    <t>Működési célú, előzetesen felszámított áfa</t>
  </si>
  <si>
    <t>Egyéb, nem intézményi ellátások [Szoctv. 45. § alapján]</t>
  </si>
  <si>
    <t>Kiadások mindösszesen</t>
  </si>
  <si>
    <t>Törvény szerinti illetmények összesen:</t>
  </si>
  <si>
    <t>hó</t>
  </si>
  <si>
    <t>év</t>
  </si>
  <si>
    <t>Bankköltség térítése - polgármester</t>
  </si>
  <si>
    <t>Választott tisztségviselők juttatásai összesen</t>
  </si>
  <si>
    <t>Egyéb jogviszonyban nem saját foglalkoztatottnak fizetett juttatások összesen</t>
  </si>
  <si>
    <t>05231</t>
  </si>
  <si>
    <t xml:space="preserve">Szociális hozzájárulási adó </t>
  </si>
  <si>
    <t>Szociális hozzájárulási adó összesen</t>
  </si>
  <si>
    <t>Szakmai anyagok beszerzése (könyv)</t>
  </si>
  <si>
    <t>Tisztítószer</t>
  </si>
  <si>
    <t>Munkaruha és védőruha</t>
  </si>
  <si>
    <t>Üzemeltetési anyagok összesen</t>
  </si>
  <si>
    <t>Informatikai szolgáltatások igénybevétele</t>
  </si>
  <si>
    <t>Bérleti és lízing díjak összesen</t>
  </si>
  <si>
    <t>Jogi szolgáltatás</t>
  </si>
  <si>
    <t>Egyéb szakmai tevékenységet segítő szolg.</t>
  </si>
  <si>
    <t>Szakmai tevékenységet segítő szolgáltatások összesen</t>
  </si>
  <si>
    <t>AM</t>
  </si>
  <si>
    <t>Egyéb szolgáltatások összesen:</t>
  </si>
  <si>
    <t>Működési célú előzetesen felszámított általános forgalmi adó összesen</t>
  </si>
  <si>
    <t xml:space="preserve"> </t>
  </si>
  <si>
    <t>0535502</t>
  </si>
  <si>
    <t>Egyéb dologi kiadások összesen</t>
  </si>
  <si>
    <t>Egyéb működési célú támogatások államháztartáson belülre összesen</t>
  </si>
  <si>
    <t>Tartalékok (kötelezettséggel terhelt pénzmaradvány)</t>
  </si>
  <si>
    <t xml:space="preserve">Összes önkormányzati tartalék </t>
  </si>
  <si>
    <t>Felújítási kiadások összesen</t>
  </si>
  <si>
    <t>Karbantartási, kisjavítási szolg. összesen</t>
  </si>
  <si>
    <t>018030 Támogatási célú finanszírozási műveletek</t>
  </si>
  <si>
    <t>Óvodának átadott köznevelési normatíva</t>
  </si>
  <si>
    <t>Óvodának átadott irányító szervi támogatás</t>
  </si>
  <si>
    <t>Más járulék fizetési kötelezettség TP hj.</t>
  </si>
  <si>
    <t>Karbantartás, kisjavítás összesen</t>
  </si>
  <si>
    <t>Ingatlanok felújítása összesen</t>
  </si>
  <si>
    <t>MT alapján teljes, részmunkaidős bér összesen</t>
  </si>
  <si>
    <t>Egyéb költségtérítések -bankköltség</t>
  </si>
  <si>
    <t>Egyéb készlet, üzemeltetési anyag</t>
  </si>
  <si>
    <t>Egyéb karbantartási, kisjavítási szolgáltatások</t>
  </si>
  <si>
    <t>Egyéb tárgyi eszközök beszerzése, létesítése összesen</t>
  </si>
  <si>
    <t>Köztisztviselők, közalkalmazottak bére</t>
  </si>
  <si>
    <t>0521</t>
  </si>
  <si>
    <t>Rovarírtás</t>
  </si>
  <si>
    <t>Köztisztviselők, közalkalmazottak bére összesen</t>
  </si>
  <si>
    <t xml:space="preserve">Egyéb tárgyi eszköz beszerzés </t>
  </si>
  <si>
    <t xml:space="preserve">Ingatlanok felújítása </t>
  </si>
  <si>
    <t>Dorog és Térsége Szociális Alapellátó Szolgálatnak fizetett hozzájárulás</t>
  </si>
  <si>
    <t>Egyéb pénzbeli és természetbeni gyermekvédelmi támogatások kiadásai</t>
  </si>
  <si>
    <t>kiegészítő gyermekvédelmi támogatás</t>
  </si>
  <si>
    <t>Vásárolt élelmezés előirányzata</t>
  </si>
  <si>
    <t>Családsegítő és Gyermekjóléti Szolg.-nak fizetett éves hozzájárulás</t>
  </si>
  <si>
    <t>053771</t>
  </si>
  <si>
    <t>0548317</t>
  </si>
  <si>
    <t>Egyéb nem intézményi ellátás (Szoctv. 45.§)</t>
  </si>
  <si>
    <t>0548315</t>
  </si>
  <si>
    <t>Egyéb, az Önkorm. Rendeletében megállapított juttatás (rendelet alapján)</t>
  </si>
  <si>
    <t>rendelet alapján</t>
  </si>
  <si>
    <t>ebből: Beiskolázási támogatás</t>
  </si>
  <si>
    <t>Kiadások kormányati funkciók (COFOG) szerinti bontásban (összesítő)</t>
  </si>
  <si>
    <t>Kormányzati funkció (COFOG)</t>
  </si>
  <si>
    <t>Bér</t>
  </si>
  <si>
    <t>Járulék</t>
  </si>
  <si>
    <t>Dologi kiadás</t>
  </si>
  <si>
    <t>107060 - Egyéb szociális pénzbeni és természetbeni ellátások</t>
  </si>
  <si>
    <t>Önkormányzat összesen:</t>
  </si>
  <si>
    <t xml:space="preserve">Közutak fenntartásának támogatása: </t>
  </si>
  <si>
    <t>Ft</t>
  </si>
  <si>
    <t>Közvilágítás fenntartásának támogatása:</t>
  </si>
  <si>
    <t>Köztemető fenntartásának támogatása:</t>
  </si>
  <si>
    <t>Üzemeltetési anyagok, tisztítószer iskolának</t>
  </si>
  <si>
    <t>Egyéb szolgáltatások - fűtőanyag szállítási díj</t>
  </si>
  <si>
    <t>Ellenőrzés:</t>
  </si>
  <si>
    <t>Tárgyévi működési bevételek</t>
  </si>
  <si>
    <t>Települési önkormányzatok kulturális feladatainak támogatása (kulturális illetménypótlék)</t>
  </si>
  <si>
    <t>098141</t>
  </si>
  <si>
    <t>Államháztartáson belüli megelőlegezések teljesítése</t>
  </si>
  <si>
    <t>Államháztartáson belüli megelőlegezés</t>
  </si>
  <si>
    <t>%</t>
  </si>
  <si>
    <t>041233 Hosszú távú közfoglalkoztatás</t>
  </si>
  <si>
    <t>I/3.aa) számú melléklet</t>
  </si>
  <si>
    <t>Kiadások visszatérítései</t>
  </si>
  <si>
    <t>097533</t>
  </si>
  <si>
    <t>Egyéb felhalmozási c. átvett pénzeszk.</t>
  </si>
  <si>
    <t>Piliscsév Község Önkormányzata</t>
  </si>
  <si>
    <t>051112</t>
  </si>
  <si>
    <t>Szociális támogatások</t>
  </si>
  <si>
    <t>Szakmai anyagok, gyógyszer, könyv beszerzése</t>
  </si>
  <si>
    <t>Informatikai szolgáltatások, internet díj</t>
  </si>
  <si>
    <t>Víz- és csatornadíj  (technikai)</t>
  </si>
  <si>
    <t>0533521</t>
  </si>
  <si>
    <t>Közvetítet szolgáltatások ÁHT-on kívül</t>
  </si>
  <si>
    <t>Belföldi kiküldetések</t>
  </si>
  <si>
    <t>Önkéntes EP - polgármester</t>
  </si>
  <si>
    <t>Egyéb külső személyi juttatások</t>
  </si>
  <si>
    <t>051231</t>
  </si>
  <si>
    <t>0331131</t>
  </si>
  <si>
    <t>Csapuka Katalin újság, pályázat megbízási díj</t>
  </si>
  <si>
    <t>Gépek, autó</t>
  </si>
  <si>
    <t>Faház</t>
  </si>
  <si>
    <t>Belföldi kiküldetések kiadásai</t>
  </si>
  <si>
    <t>Karbantartás, kisjaítási szolgáltatások telj.</t>
  </si>
  <si>
    <t xml:space="preserve">Villamos energia </t>
  </si>
  <si>
    <t xml:space="preserve">Gázdíj  </t>
  </si>
  <si>
    <t xml:space="preserve">Víz- és csatornadíj </t>
  </si>
  <si>
    <t>Egyéb szolgáltatások teljesítése</t>
  </si>
  <si>
    <t xml:space="preserve">Egyéb szolgáltatások </t>
  </si>
  <si>
    <t>Kiküldetések kiadásai - Köztisztviselők napja</t>
  </si>
  <si>
    <t>Közös Hivatalnak átadott állami támogatás</t>
  </si>
  <si>
    <t>Művelődési Háznak átadott állami támogatás</t>
  </si>
  <si>
    <t>Művelődési Háznak átadott irányító szervi támogatás</t>
  </si>
  <si>
    <t>041233 Hosszabb időtartamú közfoglalkoztatás</t>
  </si>
  <si>
    <t>Törvény szerinti illetmények, munkabérek telj.</t>
  </si>
  <si>
    <t>041236 Országos közfoglalkoztatási program</t>
  </si>
  <si>
    <t>Ingatlanok felújítása teljesítése</t>
  </si>
  <si>
    <t xml:space="preserve">Zöldterület gazdálkodás normatíva: </t>
  </si>
  <si>
    <t>Kamatkiadások teljesítése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</si>
  <si>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</si>
  <si>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</si>
  <si>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</si>
  <si>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</si>
  <si>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</si>
  <si>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Béren kívüli juttatások teljesítése</t>
  </si>
  <si>
    <t>053211</t>
  </si>
  <si>
    <t>Egyéb kommunikációs szolgáltatások telj.</t>
  </si>
  <si>
    <t>074032 - Ifjúság-egyészségügyi gondozás</t>
  </si>
  <si>
    <t>074032 - Ifjúság-egészségügyi gondozás</t>
  </si>
  <si>
    <t>Med-Anna</t>
  </si>
  <si>
    <t>082091 - Közművelődés – közösségi és társadalmi részvétel fejlesztése</t>
  </si>
  <si>
    <t>082091 - Közművelődés - közösségi és társadalmi részvétel fejlesztése</t>
  </si>
  <si>
    <t>Szociális hozzájárulási adó kiadásai</t>
  </si>
  <si>
    <t>Egyéb civil, vagy más nonprofit szervezetek egyéb működési célú támogatások kiadásai</t>
  </si>
  <si>
    <t>Diákönkormányzat</t>
  </si>
  <si>
    <t>Vöröskereszt</t>
  </si>
  <si>
    <t>Piliscsév SE</t>
  </si>
  <si>
    <t>Szlovák Baráti Kör</t>
  </si>
  <si>
    <t>Asszonykórus Piliscsév</t>
  </si>
  <si>
    <t>Nyugdíjas Klub</t>
  </si>
  <si>
    <t xml:space="preserve">Pincefalu Egyesület </t>
  </si>
  <si>
    <t>Piliscsévi Polgárőr Egyesület</t>
  </si>
  <si>
    <t>Ister Granum</t>
  </si>
  <si>
    <t>Piliscsévi Szlovák Önkormányzat</t>
  </si>
  <si>
    <t>Katolikus Karitász</t>
  </si>
  <si>
    <t>Trnka Tánccsoport</t>
  </si>
  <si>
    <t>Natúrpark</t>
  </si>
  <si>
    <t>Esztergomi Kórház, eü-i, egyedi kérelmek</t>
  </si>
  <si>
    <t>Duna-Pilis-Gerecse Társulás</t>
  </si>
  <si>
    <t>Dorog és Térsége Turizmus Egyesület tagíj</t>
  </si>
  <si>
    <t>102031 - Idősek nappali ellátása</t>
  </si>
  <si>
    <t>104035 - Gyermekétkeztetés bölcsődében, fogyatékosok nappali intézményében</t>
  </si>
  <si>
    <t>Vásárolt élelmezés teljesítése</t>
  </si>
  <si>
    <t>104042 - Család-, és gyermekjóléti szolgáltatások</t>
  </si>
  <si>
    <t xml:space="preserve">104042 - Család-, és gyermekjóléti szolgáltatások </t>
  </si>
  <si>
    <t>Egyéb üzemeltetési anyagok  - szociális tüzifa I.</t>
  </si>
  <si>
    <t>05481</t>
  </si>
  <si>
    <t>ebből: piliscsévi gyerekek bérlet támogatása</t>
  </si>
  <si>
    <t>ebből: időskorúak támogatása (Karácsonykor)</t>
  </si>
  <si>
    <t>ebből: Babautalvány</t>
  </si>
  <si>
    <t xml:space="preserve">ebből: ösztöndíj támogatás </t>
  </si>
  <si>
    <t>Egyéb települési támogatás (lakásfenntartási tám., átmeneti segély, gyógyszerköltség, kórházi ápolás, temetési segély, tűzifa segély, étkezési térítési díj)</t>
  </si>
  <si>
    <t>Köztemetés (Szoc.tv.48.§)</t>
  </si>
  <si>
    <t>Köztemetés (Szoc.tv. 48.§)</t>
  </si>
  <si>
    <t>094031</t>
  </si>
  <si>
    <t>Közvetített szolgáltatások ellenértéke</t>
  </si>
  <si>
    <t>09741</t>
  </si>
  <si>
    <t>Háztartásoktól felhalmozási célú visszatérítendő támogatások, kölcsönök visszatérülése</t>
  </si>
  <si>
    <t>ebből: önkormányzati hivatal működésének támogatása</t>
  </si>
  <si>
    <t>ebből: üdülőhelyi feladatok támogatása</t>
  </si>
  <si>
    <t>ebből: a finanszírozás szempontjából elismert szakmai dolgozók bértámotatása - bölcsőde</t>
  </si>
  <si>
    <t>ebből: 2019. évi bérkompenzáció támogatása</t>
  </si>
  <si>
    <t>091161</t>
  </si>
  <si>
    <t>Leányvár Cselgáncs Klub</t>
  </si>
  <si>
    <t>Közös Hivatalnak átadott irányító szervi támogatás</t>
  </si>
  <si>
    <t>Tér-Háló rendezési terv</t>
  </si>
  <si>
    <t>Immateriális javak beszerzése, létesítése tartalékból</t>
  </si>
  <si>
    <t>Köztemetés visszafizetés</t>
  </si>
  <si>
    <t>066020 - Város-, és községgazdálkodási egyéb szolgáltatások</t>
  </si>
  <si>
    <t>09251</t>
  </si>
  <si>
    <t>Fejezeti kezelésű EI-tól EU-s programok és azok hazai társfinanszírozása miatt felhalmozási célú támogatások bevételei (Identitás pályázat)</t>
  </si>
  <si>
    <t>104031 - Gyermekek bölcsődében és mini bölcsődében történő ellátása</t>
  </si>
  <si>
    <t>093351</t>
  </si>
  <si>
    <t>Tartózkodás után fizetett idegenforgalmi adó bevételei</t>
  </si>
  <si>
    <t>Egyéb tárgyi eszköz beszerzése, létesítése</t>
  </si>
  <si>
    <t>Béren kívüli juttatások</t>
  </si>
  <si>
    <t>0511121</t>
  </si>
  <si>
    <t>053351</t>
  </si>
  <si>
    <t>Közvetített szolgáltatások Áht-on kívülre</t>
  </si>
  <si>
    <t>Települési támogatás [Szoctv. 45.§]</t>
  </si>
  <si>
    <t>054871</t>
  </si>
  <si>
    <t>09355011</t>
  </si>
  <si>
    <t>Tartózkodás után fizetett idegenforgalmi adó</t>
  </si>
  <si>
    <t>095221</t>
  </si>
  <si>
    <t>Földterületek eladása</t>
  </si>
  <si>
    <t>Felhalm.c. kölcsön visszatérülése</t>
  </si>
  <si>
    <t>0925   Felhalmozási célú önkormányzati támogatások</t>
  </si>
  <si>
    <t>013350 - Az önkormányzati vagyonnal való gazdálkoással kapcsolatos feladatok</t>
  </si>
  <si>
    <t>041233 - Hosszabb időtartamú közfoglalkoztatás</t>
  </si>
  <si>
    <t>041236 - Országos közfoglalkoztatási program</t>
  </si>
  <si>
    <t>104042 - Család- és gyermekjóléti szolgáltatások</t>
  </si>
  <si>
    <t>Központi költségvetési szervnek egyéb működési célú végleges támogatás kiadásai</t>
  </si>
  <si>
    <t>Társulásnak és költségvetési szervének egyéb működési célú végleges támogatás kiad.</t>
  </si>
  <si>
    <t>0550631</t>
  </si>
  <si>
    <t>062020 - Településfejlesztési projektek és támogatásuk</t>
  </si>
  <si>
    <t>Ingatlanok felújítása előirányzata - orvosi</t>
  </si>
  <si>
    <t>áttéve a 018030-as kormányzati funkcióra</t>
  </si>
  <si>
    <t>0511011</t>
  </si>
  <si>
    <t>szociálped.</t>
  </si>
  <si>
    <t>Ingatlanok felújítása előirányzata</t>
  </si>
  <si>
    <t>Központi kezelésű előirányzattól működési célú támogatások bevételei</t>
  </si>
  <si>
    <t>Működési célú végleges támogatás kiadásai</t>
  </si>
  <si>
    <t>Változás</t>
  </si>
  <si>
    <t>Eredeti EI</t>
  </si>
  <si>
    <t>ebből: bölcsődei üzemeltetés támogatása</t>
  </si>
  <si>
    <t>Elszámolásból származó bevételek - 2019. évi pótigénylés</t>
  </si>
  <si>
    <t>Alpolgármester tiszteletdíja 2020.12 havi</t>
  </si>
  <si>
    <t>Alpolgármester költségtérítése 2020.12 havi</t>
  </si>
  <si>
    <t>Tartalékok (elköt. pénzmaradv. terhére) útpályázat beérkezett előlege</t>
  </si>
  <si>
    <t>Dorog és Térsége Szociális Alapellátó Szolgálatnak átadott hozzájárulás</t>
  </si>
  <si>
    <t>Dorog és Térsége Szociális Családsegítésre átadott hozzájárulás</t>
  </si>
  <si>
    <t>Bursa ösztöndíjakra átadott támogatás</t>
  </si>
  <si>
    <t xml:space="preserve">Gyermekétkeztetés normatíva: </t>
  </si>
  <si>
    <t>Identitás pályázat befolyt összegéből szabad maradvány: 4443000</t>
  </si>
  <si>
    <t>Tulajdonosi bevételek (faház, tak.szöv.bérleti díja)</t>
  </si>
  <si>
    <t>Kiadások visszatérítései (orvosi épület bérleti díja)</t>
  </si>
  <si>
    <t>Felhalmozási célú önkormányzati támogatások teljesítése (Visszmajor pályázaton elnyert összeg)</t>
  </si>
  <si>
    <t>I/5.sz. melléklet</t>
  </si>
  <si>
    <t>Bankszámlán lévő egyenleg (főszámla):</t>
  </si>
  <si>
    <t>Gépjárműadó számlán maradó egyenleg:</t>
  </si>
  <si>
    <t>Idegen bevétel számlán maradó egyenleg:</t>
  </si>
  <si>
    <t>Összes banki egyenleg:</t>
  </si>
  <si>
    <t>Pénzmaradványt csökkentő tételek</t>
  </si>
  <si>
    <t xml:space="preserve">Összesen: </t>
  </si>
  <si>
    <t>Illeték bevétel számlán maradó egyenleg:</t>
  </si>
  <si>
    <t>MÁK Pályázati számlán maradó egyenleg (út felújítása):</t>
  </si>
  <si>
    <t>MÁK Pályázati számlán maradó egyenleg (identitás):</t>
  </si>
  <si>
    <t>MÁK Pályázati számlán maradó egyenleg (TOP pályázat):</t>
  </si>
  <si>
    <t>Visszmajor pály.</t>
  </si>
  <si>
    <t>Visszmajor pályázat: támogatás: 7600 ezer Ft, önrész: 1600 ezer Ft.</t>
  </si>
  <si>
    <t xml:space="preserve">Képviselők tiszteletdíja </t>
  </si>
  <si>
    <t>Elkülönített állami pénzalaptól működési célú támogatások bevételei (nyári diákmunkások támogatása)</t>
  </si>
  <si>
    <t>0511061</t>
  </si>
  <si>
    <t>Jubileumi jutalom</t>
  </si>
  <si>
    <t>Ingatlan beszerzése, létesítése</t>
  </si>
  <si>
    <t>ingatlan, telek</t>
  </si>
  <si>
    <t>házvásárlás: 6mó Ft, telekvásárlás: 3mó Ft.</t>
  </si>
  <si>
    <t>Ingatlan felújítása</t>
  </si>
  <si>
    <t>092131</t>
  </si>
  <si>
    <t>Kolibri Táncegyesület</t>
  </si>
  <si>
    <t>Egyéb támogatások (Pilis Kupa, stb.)</t>
  </si>
  <si>
    <t>2021. évi eredeti EI</t>
  </si>
  <si>
    <t>ebből: egyéb önkormányzati feladatok támogatása</t>
  </si>
  <si>
    <t>ebből: lakott külterülettel kapcs. Feladatok támogatása</t>
  </si>
  <si>
    <t>0550831</t>
  </si>
  <si>
    <t>Háztartásoknak működési célú visszatérítendő támogatás, kölcsön nyújtás kiadásai</t>
  </si>
  <si>
    <t>Tóth Ferenc Zoltánné</t>
  </si>
  <si>
    <t>Oláh Gábor</t>
  </si>
  <si>
    <t>Kókai Balázs</t>
  </si>
  <si>
    <t>Gondi Győző 2020.12.hó</t>
  </si>
  <si>
    <t>Gondi Győző 2021. 11 hó</t>
  </si>
  <si>
    <t>Védőnő normatíva:</t>
  </si>
  <si>
    <t>EP</t>
  </si>
  <si>
    <t>Betegszabadság</t>
  </si>
  <si>
    <t>Konyhai dolgozó bére (Ijjas Ferencné) 2020.12.hó</t>
  </si>
  <si>
    <t>Konyhai dolgozó bére (Ijjas Ferencné) 2011.11 hó</t>
  </si>
  <si>
    <t>bankköltség</t>
  </si>
  <si>
    <t>szoc. normatíva:</t>
  </si>
  <si>
    <t>Képviselők tiszteletdíja 2021.11 hó</t>
  </si>
  <si>
    <t>Alpolgármester ktgtérítése 2021. 11 hó</t>
  </si>
  <si>
    <t>Alpolgármester tiszteletdíja 2021.11 hó</t>
  </si>
  <si>
    <t>munkaruha</t>
  </si>
  <si>
    <t>Béren kívüli</t>
  </si>
  <si>
    <t>csapok</t>
  </si>
  <si>
    <t>betonozás (urnafal)</t>
  </si>
  <si>
    <t>Ludové Noviny</t>
  </si>
  <si>
    <t>egyéb szakmai anyag beszerzése</t>
  </si>
  <si>
    <t>24 óra</t>
  </si>
  <si>
    <t>Egyéb üzemeltetési anyagok</t>
  </si>
  <si>
    <t>Borlai számítógép üzemeltetés</t>
  </si>
  <si>
    <t>Szerver üzemeltetés (Comp-L)</t>
  </si>
  <si>
    <t>AAM</t>
  </si>
  <si>
    <t>Telekom internetdíj</t>
  </si>
  <si>
    <t>telefonszámla</t>
  </si>
  <si>
    <t>Nyomtató bérleti díj (Konika Mivolta)</t>
  </si>
  <si>
    <t>Fiókbérleti díj</t>
  </si>
  <si>
    <t>Egyéb bérleti díjak</t>
  </si>
  <si>
    <t>Példányszám (Konika Mivolta)</t>
  </si>
  <si>
    <t>Egyéb karbantartási szolgáltatások</t>
  </si>
  <si>
    <t>Youtube csatorna kezelése (Borlai)</t>
  </si>
  <si>
    <t>Síkosságmentesítés</t>
  </si>
  <si>
    <t>Síkosságmentesítás rendelkezésre állás</t>
  </si>
  <si>
    <t>15000/óra</t>
  </si>
  <si>
    <t>09355391</t>
  </si>
  <si>
    <t>Talajterhelési díj bevételei</t>
  </si>
  <si>
    <t>ebből: Tóth Éva</t>
  </si>
  <si>
    <t>esküvők</t>
  </si>
  <si>
    <t>Topor fennmaradó év elején:</t>
  </si>
  <si>
    <t>Csilléné Ijjas Petra fennmradó</t>
  </si>
  <si>
    <t>idén esedékes</t>
  </si>
  <si>
    <t>Kati számla</t>
  </si>
  <si>
    <t>Duster</t>
  </si>
  <si>
    <t>egyéb karbantartás</t>
  </si>
  <si>
    <t>egyéb közv.szolg.</t>
  </si>
  <si>
    <t>Bankköltség</t>
  </si>
  <si>
    <t>autóbiztosítások</t>
  </si>
  <si>
    <t>KIA</t>
  </si>
  <si>
    <t>egyéb</t>
  </si>
  <si>
    <t>cégautóadó</t>
  </si>
  <si>
    <t>temető</t>
  </si>
  <si>
    <t>járda</t>
  </si>
  <si>
    <t>játszótér</t>
  </si>
  <si>
    <t>KIA üzemanyag</t>
  </si>
  <si>
    <t>üzemanyag gépekbe</t>
  </si>
  <si>
    <t>Üzemanyag</t>
  </si>
  <si>
    <t>Duster karbantartás</t>
  </si>
  <si>
    <t xml:space="preserve">KIA karbantartása </t>
  </si>
  <si>
    <t>wifi eu</t>
  </si>
  <si>
    <t>Lodgy üzemanyag</t>
  </si>
  <si>
    <t>Lodgy karbantartás</t>
  </si>
  <si>
    <t>Elkülönített állami pénzalaptól működési célú támogatások bevételei (földalapú támogatás)</t>
  </si>
  <si>
    <t>0550637</t>
  </si>
  <si>
    <t>Hristov-Todorov Judit</t>
  </si>
  <si>
    <t>Tartalékok (elköt.pénzmaradv.terhére) Identitás pályázat</t>
  </si>
  <si>
    <t>Tartalékok (elköt.pénzmaradv.terhére) Közfoglalkoztatottak</t>
  </si>
  <si>
    <t>104030 - Gyermekek napközbeni ellátása</t>
  </si>
  <si>
    <t>Működési célű előzetesen felszámított áfa</t>
  </si>
  <si>
    <t>Egyéb működési bevételek előirányzata</t>
  </si>
  <si>
    <t>Talajterhelés</t>
  </si>
  <si>
    <t>Béren kívüli juttatás</t>
  </si>
  <si>
    <t>074040 - Fertőző megbetegedések megelőzése, járványügyi ellátás</t>
  </si>
  <si>
    <t>Működési célú előzetesen felszámított általános forgalmi adó teljesítése</t>
  </si>
  <si>
    <t>053313</t>
  </si>
  <si>
    <t>2021. eredeti EI</t>
  </si>
  <si>
    <t>projektor, vetítő</t>
  </si>
  <si>
    <t>Csévi Kisbíró</t>
  </si>
  <si>
    <t>Ingatlanok felújítása teljesítése (Olasz ház kerítés+Főnyomócső)</t>
  </si>
  <si>
    <t>rendezési terv módosítások</t>
  </si>
  <si>
    <t>Rendelő</t>
  </si>
  <si>
    <t>2022. évi költségvetés eredeti előirányzata</t>
  </si>
  <si>
    <t>2022. évi eredeti EI</t>
  </si>
  <si>
    <t>ebből: Óvodaműködtetési támogatás</t>
  </si>
  <si>
    <t>ebből: Pedagógusok átlagbéralapú támogatása</t>
  </si>
  <si>
    <t>ebből:  segítők átlagbéralapú támogatása</t>
  </si>
  <si>
    <t>ebből: nemzetiségi támogatás</t>
  </si>
  <si>
    <t>091132</t>
  </si>
  <si>
    <t>Települési önkormányzatok gyermekétkeztetési feladatainak támogatása</t>
  </si>
  <si>
    <t>Települési önkormányzatok szociális, gyermekjóléti feladatainak támogatása</t>
  </si>
  <si>
    <t>ebből: rászoruló gyermekek szünidei étkeztetésének tám.</t>
  </si>
  <si>
    <t>Szja</t>
  </si>
  <si>
    <t>Lodgy karbantartási anyag</t>
  </si>
  <si>
    <t>elektromos kerékpár karbantartás</t>
  </si>
  <si>
    <t>általános karbantartás</t>
  </si>
  <si>
    <t>orvosi alkalmasság, eg.kiskönyv</t>
  </si>
  <si>
    <t>2022. eredeti EI</t>
  </si>
  <si>
    <t>Védőnő bére 2021.12.hó</t>
  </si>
  <si>
    <t>Védőnő bére 2022.11 hó</t>
  </si>
  <si>
    <t>SZJA</t>
  </si>
  <si>
    <t>Járulékok összesen:</t>
  </si>
  <si>
    <t>Járulékok</t>
  </si>
  <si>
    <t>Telekom internetszolgáltatás</t>
  </si>
  <si>
    <t>Telekom telefonszámla</t>
  </si>
  <si>
    <t>oktatás</t>
  </si>
  <si>
    <t>helyettesítés</t>
  </si>
  <si>
    <t>Megbízási díj</t>
  </si>
  <si>
    <t>Bedő Viktória</t>
  </si>
  <si>
    <t>Szocho</t>
  </si>
  <si>
    <t>gépek anyagköltségei, karb.anyagktg.</t>
  </si>
  <si>
    <t>Dózsa Gy. Áram</t>
  </si>
  <si>
    <t>Jubileum tér áram</t>
  </si>
  <si>
    <t>Automata</t>
  </si>
  <si>
    <t>Sport</t>
  </si>
  <si>
    <t>Község belterületek</t>
  </si>
  <si>
    <t>Külterület, Pincefalu</t>
  </si>
  <si>
    <t>Ebrendészeti feladatok</t>
  </si>
  <si>
    <t>Ebtartás, altatás</t>
  </si>
  <si>
    <t>Óvodának bölcsődére</t>
  </si>
  <si>
    <t>Polgármester bér 2021.12.havi</t>
  </si>
  <si>
    <t>Polgármester bér 2022.11 hó</t>
  </si>
  <si>
    <t>Polgármester ktgtérítése 2021.12.hó</t>
  </si>
  <si>
    <t>Polgármester ktgtérítése 2021.11hó</t>
  </si>
  <si>
    <t>Önkormányzati egyéb megbízások</t>
  </si>
  <si>
    <t>Urbanics utca 1 áram</t>
  </si>
  <si>
    <t>Urbanics utca 1 víz</t>
  </si>
  <si>
    <t>Urbanics utca 1 gáz</t>
  </si>
  <si>
    <t>Faház áram</t>
  </si>
  <si>
    <t>Hősök tere 9 áram</t>
  </si>
  <si>
    <t>Iskola utca 10 áram</t>
  </si>
  <si>
    <t>Iskola utca 10 víz</t>
  </si>
  <si>
    <t>Iskola utca 10 gáz</t>
  </si>
  <si>
    <t>Kossuth 2 áram</t>
  </si>
  <si>
    <t>Kossuth 2 víz</t>
  </si>
  <si>
    <t>Gyógypedagógiai szolg.</t>
  </si>
  <si>
    <t>Hanganov</t>
  </si>
  <si>
    <t>2021.évi pályázat</t>
  </si>
  <si>
    <t>fűkasza</t>
  </si>
  <si>
    <t>december</t>
  </si>
  <si>
    <t>Kovács Kristóf</t>
  </si>
  <si>
    <t>Tóth Tibor</t>
  </si>
  <si>
    <t>Tóth Zoltán</t>
  </si>
  <si>
    <t>Taki</t>
  </si>
  <si>
    <t>Iskola 10</t>
  </si>
  <si>
    <t>Velmovszki</t>
  </si>
  <si>
    <t>Dr. Borbola</t>
  </si>
  <si>
    <t>Dr. Bio</t>
  </si>
  <si>
    <t>MedAnna Bt.</t>
  </si>
  <si>
    <t>Tartalékok (elköt. pénzmaradv. terhére) Iskola energetika támogatás</t>
  </si>
  <si>
    <t>Tartalékok (elköt. Pénzmaradv. Terhére) Iskola energetika önerő</t>
  </si>
  <si>
    <t>ebből: Fetter Ádám</t>
  </si>
  <si>
    <t>Tartalékok (elköt. Pénzmaradv. Terhére) Kesztölci utca önerő</t>
  </si>
  <si>
    <t>ebből: Hudecz Adriána</t>
  </si>
  <si>
    <t>ebből: Fekete Balázs</t>
  </si>
  <si>
    <t>ebből: Both Zoltán</t>
  </si>
  <si>
    <t>ebből: Nádasi Szabó</t>
  </si>
  <si>
    <t>ebből: Petőfi-Árpád utca</t>
  </si>
  <si>
    <t>parkoló</t>
  </si>
  <si>
    <t>Tartalékok (elköt. Pénzmaradv. Terhére) MFP előkészítés</t>
  </si>
  <si>
    <t>Gondi Béláné</t>
  </si>
  <si>
    <t>Weizner Erzsébet</t>
  </si>
  <si>
    <t>Karnai Lászlóné</t>
  </si>
  <si>
    <t>Működési célú költségvetési támogatások és kiegészítő támogatások (2022.évi bérintézkedések)</t>
  </si>
  <si>
    <t>ebből: 1.1.1. Önkormányzat működés</t>
  </si>
  <si>
    <t>ebből Hivatal: 529.540</t>
  </si>
  <si>
    <t>ebből: 1.2. köznevelés</t>
  </si>
  <si>
    <t>ebből: 1.3. Bölcsőde</t>
  </si>
  <si>
    <t>ebből: 1.4. gyermekétkezés</t>
  </si>
  <si>
    <t>Tartalékok (elköt. Pénzmaradv. Terhére) 2021. évi szoc tüzifa szállítás</t>
  </si>
  <si>
    <t>MÁK Pályázati számlán maradó egyenleg (Iskola energetika):</t>
  </si>
  <si>
    <t>Tartalékok (elköt. Pénzmaradv. Terhére) 2021. évre vonatkozó visszafizetés</t>
  </si>
  <si>
    <t>Piliscsév Község Önkormányzata 2021. költségvetési évre 2022-ről átvihető pénzmaradványa</t>
  </si>
  <si>
    <t>Tartalékok (elköt. Pénzmaradv. Terhére) Kesztölci utca felújítás</t>
  </si>
  <si>
    <t>Polgármester jutalom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</si>
</sst>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#,##0\ &quot;Ft&quot;;[Red]\-#,##0\ &quot;Ft&quot;"/>
    <numFmt numFmtId="164" formatCode="_-* #,##0.00,_F_t_-;\-* #,##0.00,_F_t_-;_-* \-??\ _F_t_-;_-@_-"/>
    <numFmt numFmtId="165" formatCode="_-* #,##0,_F_t_-;\-* #,##0,_F_t_-;_-* \-??\ _F_t_-;_-@_-"/>
    <numFmt numFmtId="166" formatCode="_-* #,##0.00,&quot;Ft&quot;_-;\-* #,##0.00,&quot;Ft&quot;_-;_-* \-??&quot; Ft&quot;_-;_-@_-"/>
    <numFmt numFmtId="167" formatCode="_-* #,##0,&quot;Ft&quot;_-;\-* #,##0,&quot;Ft&quot;_-;_-* \-??&quot; Ft&quot;_-;_-@_-"/>
    <numFmt numFmtId="168" formatCode="#,##0_ ;\-#,##0\ "/>
    <numFmt numFmtId="169" formatCode="#,##0,&quot;Ft&quot;"/>
    <numFmt numFmtId="170" formatCode="#,##0&quot; Ft&quot;;[Red]\-#,##0&quot; Ft&quot;"/>
    <numFmt numFmtId="171" formatCode="0.0%"/>
    <numFmt numFmtId="172" formatCode="#,##0.0"/>
    <numFmt numFmtId="173" formatCode="#,##0\ &quot;Ft&quot;"/>
    <numFmt numFmtId="174" formatCode="#,##0\ _F_t"/>
  </numFmts>
  <fonts count="75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rgb="FF333333"/>
      <name val="Verdana"/>
      <family val="2"/>
      <charset val="238"/>
    </font>
    <font>
      <b/>
      <sz val="10"/>
      <name val="Times New Roman"/>
      <family val="1"/>
      <charset val="238"/>
    </font>
    <font>
      <sz val="7"/>
      <name val="Verdana"/>
      <family val="2"/>
      <charset val="238"/>
    </font>
    <font>
      <b/>
      <sz val="7"/>
      <name val="Verdana"/>
      <family val="2"/>
      <charset val="238"/>
    </font>
    <font>
      <sz val="7"/>
      <color rgb="FF333333"/>
      <name val="Verdana"/>
      <family val="2"/>
      <charset val="238"/>
    </font>
    <font>
      <sz val="10"/>
      <color rgb="FFFFFFFF"/>
      <name val="Arial"/>
      <family val="2"/>
      <charset val="1"/>
    </font>
    <font>
      <i/>
      <sz val="7"/>
      <color rgb="FF333333"/>
      <name val="Verdana"/>
      <family val="2"/>
      <charset val="238"/>
    </font>
    <font>
      <i/>
      <sz val="7"/>
      <name val="Verdana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i/>
      <sz val="10"/>
      <color rgb="FFC0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7"/>
      <name val="Verdana"/>
      <family val="2"/>
      <charset val="238"/>
    </font>
    <font>
      <i/>
      <sz val="7"/>
      <color rgb="FFC00000"/>
      <name val="Verdana"/>
      <family val="2"/>
      <charset val="238"/>
    </font>
    <font>
      <sz val="7"/>
      <name val="Arial"/>
      <family val="2"/>
      <charset val="238"/>
    </font>
    <font>
      <sz val="10"/>
      <color rgb="FF385724"/>
      <name val="Arial"/>
      <family val="2"/>
      <charset val="1"/>
    </font>
    <font>
      <sz val="1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1"/>
      <name val="Traditional Arabic"/>
      <family val="1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 CE"/>
      <family val="2"/>
      <charset val="238"/>
    </font>
    <font>
      <i/>
      <sz val="7"/>
      <color rgb="FFFF0000"/>
      <name val="Verdana"/>
      <family val="2"/>
      <charset val="238"/>
    </font>
    <font>
      <i/>
      <sz val="7"/>
      <color rgb="FF385724"/>
      <name val="Verdana"/>
      <family val="2"/>
      <charset val="238"/>
    </font>
    <font>
      <i/>
      <sz val="8"/>
      <name val="Times New Roman"/>
      <family val="1"/>
      <charset val="238"/>
    </font>
    <font>
      <b/>
      <i/>
      <sz val="7"/>
      <color theme="9"/>
      <name val="Verdana"/>
      <family val="2"/>
      <charset val="238"/>
    </font>
    <font>
      <b/>
      <sz val="10"/>
      <color theme="9"/>
      <name val="Arial"/>
      <family val="2"/>
      <charset val="238"/>
    </font>
    <font>
      <i/>
      <sz val="8"/>
      <color rgb="FFFF0000"/>
      <name val="Verdana"/>
      <family val="2"/>
      <charset val="238"/>
    </font>
    <font>
      <b/>
      <sz val="11"/>
      <name val="Traditional Arabic"/>
      <family val="1"/>
    </font>
    <font>
      <sz val="11"/>
      <name val="Traditional Arabic"/>
      <family val="1"/>
    </font>
    <font>
      <sz val="10"/>
      <name val="Traditional Arabic"/>
      <family val="1"/>
    </font>
    <font>
      <sz val="9"/>
      <color rgb="FF333333"/>
      <name val="Times New Roman"/>
      <family val="1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i/>
      <sz val="9"/>
      <color rgb="FFFF0000"/>
      <name val="Calibri Light"/>
      <family val="2"/>
      <charset val="238"/>
    </font>
    <font>
      <b/>
      <sz val="9"/>
      <color rgb="FFFF0000"/>
      <name val="Calibri Light"/>
      <family val="2"/>
      <charset val="238"/>
    </font>
    <font>
      <sz val="9"/>
      <color rgb="FF333333"/>
      <name val="Calibri Light"/>
      <family val="2"/>
      <charset val="238"/>
    </font>
    <font>
      <i/>
      <sz val="9"/>
      <name val="Calibri Light"/>
      <family val="2"/>
      <charset val="238"/>
    </font>
    <font>
      <b/>
      <i/>
      <sz val="9"/>
      <color theme="9"/>
      <name val="Calibri Light"/>
      <family val="2"/>
      <charset val="238"/>
    </font>
    <font>
      <sz val="9"/>
      <color rgb="FFFF0000"/>
      <name val="Calibri Light"/>
      <family val="2"/>
      <charset val="238"/>
    </font>
    <font>
      <i/>
      <sz val="9"/>
      <color rgb="FFC00000"/>
      <name val="Calibri Light"/>
      <family val="2"/>
      <charset val="238"/>
    </font>
    <font>
      <i/>
      <sz val="9"/>
      <color theme="9"/>
      <name val="Calibri Light"/>
      <family val="2"/>
      <charset val="238"/>
    </font>
    <font>
      <i/>
      <sz val="9"/>
      <color rgb="FF385724"/>
      <name val="Calibri Light"/>
      <family val="2"/>
      <charset val="238"/>
    </font>
    <font>
      <sz val="9"/>
      <name val="Arial"/>
      <family val="2"/>
      <charset val="1"/>
    </font>
    <font>
      <sz val="12"/>
      <name val="Times New Roman"/>
      <family val="1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Verdana"/>
      <family val="2"/>
      <charset val="238"/>
    </font>
    <font>
      <sz val="10"/>
      <name val="Berlin Sans FB"/>
      <family val="2"/>
    </font>
    <font>
      <i/>
      <sz val="10"/>
      <name val="Berlin Sans FB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99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BDD7EE"/>
        <bgColor rgb="FF9DC3E6"/>
      </patternFill>
    </fill>
    <fill>
      <patternFill patternType="solid">
        <fgColor rgb="FFCCFFFF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9DC3E6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5" tint="0.59999389629810485"/>
        <b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164" fontId="40" fillId="0" borderId="0" applyBorder="0">
      <protection locked="0"/>
    </xf>
    <xf numFmtId="166" fontId="16" fillId="0" borderId="0" applyBorder="0" applyProtection="0"/>
    <xf numFmtId="9" fontId="40" fillId="0" borderId="0" applyBorder="0">
      <protection locked="0"/>
    </xf>
  </cellStyleXfs>
  <cellXfs count="1217">
    <xf numFmtId="0" fontId="0" fillId="0" borderId="0" xfId="0"/>
    <xf numFmtId="0" fontId="1" fillId="0" borderId="0" xfId="0" applyFont="1"/>
    <xf numFmtId="0" fontId="2" fillId="2" borderId="0" xfId="0" applyFont="1" applyFill="1" applyAlignment="1"/>
    <xf numFmtId="3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40" fillId="0" borderId="11" xfId="1" applyNumberFormat="1" applyBorder="1">
      <protection locked="0"/>
    </xf>
    <xf numFmtId="49" fontId="3" fillId="4" borderId="10" xfId="3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40" fillId="0" borderId="13" xfId="1" applyNumberFormat="1" applyBorder="1">
      <protection locked="0"/>
    </xf>
    <xf numFmtId="165" fontId="40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49" fontId="3" fillId="4" borderId="15" xfId="3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49" fontId="3" fillId="4" borderId="18" xfId="3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40" fillId="0" borderId="20" xfId="1" applyNumberFormat="1" applyBorder="1">
      <protection locked="0"/>
    </xf>
    <xf numFmtId="165" fontId="40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40" fillId="0" borderId="2" xfId="1" applyNumberFormat="1" applyBorder="1">
      <protection locked="0"/>
    </xf>
    <xf numFmtId="49" fontId="3" fillId="3" borderId="24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40" fillId="0" borderId="27" xfId="1" applyNumberFormat="1" applyBorder="1">
      <protection locked="0"/>
    </xf>
    <xf numFmtId="165" fontId="40" fillId="0" borderId="28" xfId="1" applyNumberFormat="1" applyBorder="1">
      <protection locked="0"/>
    </xf>
    <xf numFmtId="0" fontId="0" fillId="2" borderId="0" xfId="0" applyFill="1"/>
    <xf numFmtId="3" fontId="1" fillId="4" borderId="31" xfId="0" applyNumberFormat="1" applyFont="1" applyFill="1" applyBorder="1"/>
    <xf numFmtId="165" fontId="40" fillId="0" borderId="33" xfId="1" applyNumberFormat="1" applyBorder="1">
      <protection locked="0"/>
    </xf>
    <xf numFmtId="49" fontId="4" fillId="3" borderId="34" xfId="0" applyNumberFormat="1" applyFont="1" applyFill="1" applyBorder="1" applyAlignment="1">
      <alignment horizontal="center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3" applyNumberFormat="1" applyFont="1" applyBorder="1" applyAlignment="1" applyProtection="1"/>
    <xf numFmtId="49" fontId="4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6" borderId="37" xfId="0" applyFont="1" applyFill="1" applyBorder="1" applyAlignment="1" applyProtection="1">
      <alignment horizontal="center" vertical="center" wrapText="1" shrinkToFit="1"/>
    </xf>
    <xf numFmtId="0" fontId="8" fillId="6" borderId="42" xfId="0" applyFont="1" applyFill="1" applyBorder="1" applyAlignment="1" applyProtection="1">
      <alignment horizontal="center" vertical="center" wrapText="1" shrinkToFit="1"/>
    </xf>
    <xf numFmtId="49" fontId="9" fillId="0" borderId="44" xfId="0" applyNumberFormat="1" applyFont="1" applyBorder="1" applyAlignment="1" applyProtection="1">
      <alignment vertical="center" wrapText="1" shrinkToFit="1"/>
    </xf>
    <xf numFmtId="49" fontId="9" fillId="0" borderId="45" xfId="0" applyNumberFormat="1" applyFont="1" applyBorder="1" applyAlignment="1" applyProtection="1">
      <alignment vertical="center" wrapText="1" shrinkToFit="1"/>
    </xf>
    <xf numFmtId="3" fontId="9" fillId="0" borderId="45" xfId="0" applyNumberFormat="1" applyFont="1" applyBorder="1" applyAlignment="1" applyProtection="1">
      <alignment vertical="center" wrapText="1" shrinkToFit="1"/>
    </xf>
    <xf numFmtId="3" fontId="9" fillId="0" borderId="9" xfId="0" applyNumberFormat="1" applyFont="1" applyBorder="1" applyAlignment="1" applyProtection="1">
      <alignment vertical="center" wrapText="1" shrinkToFit="1"/>
    </xf>
    <xf numFmtId="49" fontId="9" fillId="0" borderId="29" xfId="0" applyNumberFormat="1" applyFont="1" applyBorder="1" applyAlignment="1" applyProtection="1">
      <alignment vertical="center" wrapText="1" shrinkToFit="1"/>
    </xf>
    <xf numFmtId="49" fontId="9" fillId="0" borderId="30" xfId="0" applyNumberFormat="1" applyFont="1" applyBorder="1" applyAlignment="1" applyProtection="1">
      <alignment vertical="center" wrapText="1" shrinkToFit="1"/>
    </xf>
    <xf numFmtId="3" fontId="9" fillId="0" borderId="30" xfId="0" applyNumberFormat="1" applyFont="1" applyBorder="1" applyAlignment="1" applyProtection="1">
      <alignment vertical="center" wrapText="1" shrinkToFit="1"/>
    </xf>
    <xf numFmtId="3" fontId="9" fillId="0" borderId="12" xfId="0" applyNumberFormat="1" applyFont="1" applyBorder="1" applyAlignment="1" applyProtection="1">
      <alignment vertical="center" wrapText="1" shrinkToFit="1"/>
    </xf>
    <xf numFmtId="49" fontId="9" fillId="0" borderId="34" xfId="0" applyNumberFormat="1" applyFont="1" applyBorder="1" applyAlignment="1" applyProtection="1">
      <alignment vertical="center" wrapText="1" shrinkToFit="1"/>
    </xf>
    <xf numFmtId="49" fontId="9" fillId="0" borderId="35" xfId="0" applyNumberFormat="1" applyFont="1" applyBorder="1" applyAlignment="1" applyProtection="1">
      <alignment vertical="center" wrapText="1" shrinkToFit="1"/>
    </xf>
    <xf numFmtId="3" fontId="9" fillId="0" borderId="35" xfId="0" applyNumberFormat="1" applyFont="1" applyBorder="1" applyAlignment="1" applyProtection="1">
      <alignment vertical="center" wrapText="1" shrinkToFit="1"/>
    </xf>
    <xf numFmtId="3" fontId="9" fillId="0" borderId="17" xfId="0" applyNumberFormat="1" applyFont="1" applyBorder="1" applyAlignment="1" applyProtection="1">
      <alignment vertical="center" wrapText="1" shrinkToFit="1"/>
    </xf>
    <xf numFmtId="3" fontId="10" fillId="5" borderId="48" xfId="0" applyNumberFormat="1" applyFont="1" applyFill="1" applyBorder="1" applyAlignment="1" applyProtection="1">
      <alignment vertical="center" wrapText="1" shrinkToFit="1"/>
    </xf>
    <xf numFmtId="3" fontId="10" fillId="5" borderId="2" xfId="0" applyNumberFormat="1" applyFont="1" applyFill="1" applyBorder="1" applyAlignment="1" applyProtection="1">
      <alignment vertical="center" wrapText="1" shrinkToFit="1"/>
    </xf>
    <xf numFmtId="3" fontId="12" fillId="5" borderId="48" xfId="0" applyNumberFormat="1" applyFont="1" applyFill="1" applyBorder="1" applyAlignment="1" applyProtection="1">
      <alignment vertical="center" wrapText="1" shrinkToFit="1"/>
    </xf>
    <xf numFmtId="3" fontId="12" fillId="5" borderId="2" xfId="0" applyNumberFormat="1" applyFont="1" applyFill="1" applyBorder="1" applyAlignment="1" applyProtection="1">
      <alignment vertical="center" wrapText="1" shrinkToFit="1"/>
    </xf>
    <xf numFmtId="0" fontId="13" fillId="0" borderId="0" xfId="0" applyFont="1"/>
    <xf numFmtId="49" fontId="9" fillId="0" borderId="36" xfId="0" applyNumberFormat="1" applyFont="1" applyBorder="1" applyAlignment="1" applyProtection="1">
      <alignment vertical="center" wrapText="1" shrinkToFit="1"/>
    </xf>
    <xf numFmtId="49" fontId="9" fillId="0" borderId="37" xfId="0" applyNumberFormat="1" applyFont="1" applyBorder="1" applyAlignment="1" applyProtection="1">
      <alignment vertical="center" wrapText="1" shrinkToFit="1"/>
    </xf>
    <xf numFmtId="3" fontId="9" fillId="0" borderId="37" xfId="0" applyNumberFormat="1" applyFont="1" applyBorder="1" applyAlignment="1" applyProtection="1">
      <alignment vertical="center" wrapText="1" shrinkToFit="1"/>
    </xf>
    <xf numFmtId="3" fontId="9" fillId="0" borderId="43" xfId="0" applyNumberFormat="1" applyFont="1" applyBorder="1" applyAlignment="1" applyProtection="1">
      <alignment vertical="center" wrapText="1" shrinkToFit="1"/>
    </xf>
    <xf numFmtId="49" fontId="12" fillId="5" borderId="47" xfId="0" applyNumberFormat="1" applyFont="1" applyFill="1" applyBorder="1" applyAlignment="1" applyProtection="1">
      <alignment vertical="center" wrapText="1" shrinkToFit="1"/>
    </xf>
    <xf numFmtId="49" fontId="12" fillId="5" borderId="48" xfId="0" applyNumberFormat="1" applyFont="1" applyFill="1" applyBorder="1" applyAlignment="1" applyProtection="1">
      <alignment vertical="center" wrapText="1" shrinkToFit="1"/>
    </xf>
    <xf numFmtId="3" fontId="12" fillId="3" borderId="48" xfId="0" applyNumberFormat="1" applyFont="1" applyFill="1" applyBorder="1" applyAlignment="1" applyProtection="1">
      <alignment vertical="center" wrapText="1" shrinkToFit="1"/>
    </xf>
    <xf numFmtId="3" fontId="12" fillId="3" borderId="2" xfId="0" applyNumberFormat="1" applyFont="1" applyFill="1" applyBorder="1" applyAlignment="1" applyProtection="1">
      <alignment vertical="center" wrapText="1" shrinkToFit="1"/>
    </xf>
    <xf numFmtId="3" fontId="0" fillId="0" borderId="0" xfId="0" applyNumberFormat="1"/>
    <xf numFmtId="0" fontId="0" fillId="0" borderId="0" xfId="0" applyAlignment="1">
      <alignment horizontal="center"/>
    </xf>
    <xf numFmtId="167" fontId="16" fillId="0" borderId="0" xfId="2" applyNumberFormat="1" applyBorder="1" applyAlignment="1" applyProtection="1"/>
    <xf numFmtId="167" fontId="7" fillId="0" borderId="0" xfId="2" applyNumberFormat="1" applyFont="1" applyBorder="1" applyAlignment="1" applyProtection="1">
      <alignment horizontal="right"/>
    </xf>
    <xf numFmtId="0" fontId="17" fillId="2" borderId="0" xfId="0" applyFont="1" applyFill="1" applyBorder="1" applyAlignment="1">
      <alignment horizontal="center"/>
    </xf>
    <xf numFmtId="49" fontId="20" fillId="0" borderId="44" xfId="0" applyNumberFormat="1" applyFont="1" applyBorder="1" applyAlignment="1" applyProtection="1">
      <alignment horizontal="left" vertical="center" wrapText="1" shrinkToFit="1"/>
    </xf>
    <xf numFmtId="0" fontId="20" fillId="0" borderId="45" xfId="0" applyFont="1" applyBorder="1" applyAlignment="1" applyProtection="1">
      <alignment horizontal="left" vertical="center" wrapText="1" shrinkToFit="1"/>
    </xf>
    <xf numFmtId="3" fontId="20" fillId="0" borderId="45" xfId="0" applyNumberFormat="1" applyFont="1" applyBorder="1" applyAlignment="1" applyProtection="1">
      <alignment horizontal="right" wrapText="1" shrinkToFit="1"/>
    </xf>
    <xf numFmtId="3" fontId="20" fillId="0" borderId="9" xfId="0" applyNumberFormat="1" applyFont="1" applyBorder="1" applyAlignment="1" applyProtection="1">
      <alignment horizontal="right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wrapText="1"/>
      <protection locked="0"/>
    </xf>
    <xf numFmtId="0" fontId="23" fillId="2" borderId="0" xfId="0" applyFont="1" applyFill="1"/>
    <xf numFmtId="0" fontId="24" fillId="0" borderId="30" xfId="0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3" fontId="18" fillId="0" borderId="48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vertical="center" wrapText="1"/>
      <protection locked="0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Border="1" applyAlignment="1" applyProtection="1">
      <alignment vertical="center" wrapText="1"/>
      <protection locked="0"/>
    </xf>
    <xf numFmtId="49" fontId="24" fillId="0" borderId="29" xfId="0" applyNumberFormat="1" applyFont="1" applyBorder="1" applyAlignment="1" applyProtection="1">
      <alignment vertical="center" wrapText="1"/>
      <protection locked="0"/>
    </xf>
    <xf numFmtId="3" fontId="25" fillId="0" borderId="12" xfId="1" applyNumberFormat="1" applyFont="1" applyBorder="1">
      <protection locked="0"/>
    </xf>
    <xf numFmtId="3" fontId="25" fillId="0" borderId="30" xfId="1" applyNumberFormat="1" applyFont="1" applyBorder="1">
      <protection locked="0"/>
    </xf>
    <xf numFmtId="0" fontId="24" fillId="0" borderId="29" xfId="0" applyFont="1" applyBorder="1" applyAlignment="1" applyProtection="1">
      <alignment vertical="center" wrapText="1"/>
      <protection locked="0"/>
    </xf>
    <xf numFmtId="49" fontId="22" fillId="0" borderId="59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3" fontId="20" fillId="0" borderId="17" xfId="1" applyNumberFormat="1" applyFont="1" applyBorder="1">
      <protection locked="0"/>
    </xf>
    <xf numFmtId="49" fontId="22" fillId="0" borderId="36" xfId="0" applyNumberFormat="1" applyFont="1" applyBorder="1" applyAlignment="1" applyProtection="1">
      <alignment vertical="center" wrapText="1"/>
      <protection locked="0"/>
    </xf>
    <xf numFmtId="0" fontId="22" fillId="0" borderId="37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12" xfId="0" applyNumberFormat="1" applyFont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vertical="center" wrapText="1"/>
      <protection locked="0"/>
    </xf>
    <xf numFmtId="3" fontId="20" fillId="2" borderId="17" xfId="0" applyNumberFormat="1" applyFont="1" applyFill="1" applyBorder="1" applyAlignment="1" applyProtection="1">
      <alignment vertical="center" wrapText="1"/>
      <protection locked="0"/>
    </xf>
    <xf numFmtId="168" fontId="20" fillId="0" borderId="17" xfId="2" applyNumberFormat="1" applyFont="1" applyBorder="1" applyAlignment="1" applyProtection="1">
      <alignment vertical="center"/>
    </xf>
    <xf numFmtId="0" fontId="26" fillId="0" borderId="0" xfId="0" applyFont="1"/>
    <xf numFmtId="3" fontId="22" fillId="2" borderId="30" xfId="0" applyNumberFormat="1" applyFont="1" applyFill="1" applyBorder="1" applyAlignment="1" applyProtection="1">
      <alignment vertical="center" wrapText="1"/>
      <protection locked="0"/>
    </xf>
    <xf numFmtId="3" fontId="22" fillId="2" borderId="12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16" fillId="0" borderId="0" xfId="2" applyNumberFormat="1" applyBorder="1" applyAlignment="1" applyProtection="1"/>
    <xf numFmtId="3" fontId="17" fillId="9" borderId="48" xfId="2" applyNumberFormat="1" applyFont="1" applyFill="1" applyBorder="1" applyAlignment="1" applyProtection="1"/>
    <xf numFmtId="3" fontId="17" fillId="9" borderId="2" xfId="2" applyNumberFormat="1" applyFont="1" applyFill="1" applyBorder="1" applyAlignment="1" applyProtection="1"/>
    <xf numFmtId="0" fontId="17" fillId="0" borderId="0" xfId="0" applyFont="1"/>
    <xf numFmtId="3" fontId="17" fillId="0" borderId="0" xfId="0" applyNumberFormat="1" applyFont="1"/>
    <xf numFmtId="0" fontId="7" fillId="0" borderId="0" xfId="0" applyFont="1"/>
    <xf numFmtId="0" fontId="29" fillId="0" borderId="0" xfId="0" applyFont="1" applyAlignment="1">
      <alignment horizontal="right"/>
    </xf>
    <xf numFmtId="3" fontId="30" fillId="0" borderId="61" xfId="0" applyNumberFormat="1" applyFont="1" applyBorder="1" applyAlignment="1" applyProtection="1">
      <alignment vertical="center" wrapText="1" shrinkToFit="1"/>
    </xf>
    <xf numFmtId="3" fontId="31" fillId="0" borderId="0" xfId="0" applyNumberFormat="1" applyFont="1"/>
    <xf numFmtId="3" fontId="10" fillId="10" borderId="48" xfId="0" applyNumberFormat="1" applyFont="1" applyFill="1" applyBorder="1" applyAlignment="1" applyProtection="1">
      <alignment vertical="center" wrapText="1" shrinkToFit="1"/>
    </xf>
    <xf numFmtId="3" fontId="10" fillId="10" borderId="2" xfId="0" applyNumberFormat="1" applyFont="1" applyFill="1" applyBorder="1" applyAlignment="1" applyProtection="1">
      <alignment vertical="center" wrapText="1" shrinkToFit="1"/>
    </xf>
    <xf numFmtId="49" fontId="32" fillId="0" borderId="30" xfId="0" applyNumberFormat="1" applyFont="1" applyBorder="1" applyAlignment="1" applyProtection="1">
      <alignment vertical="center" wrapText="1" shrinkToFit="1"/>
    </xf>
    <xf numFmtId="3" fontId="10" fillId="10" borderId="8" xfId="0" applyNumberFormat="1" applyFont="1" applyFill="1" applyBorder="1" applyAlignment="1" applyProtection="1">
      <alignment vertical="center" wrapText="1" shrinkToFit="1"/>
    </xf>
    <xf numFmtId="49" fontId="11" fillId="0" borderId="24" xfId="0" applyNumberFormat="1" applyFont="1" applyBorder="1" applyAlignment="1" applyProtection="1">
      <alignment horizontal="left" vertical="center" wrapText="1" shrinkToFit="1"/>
    </xf>
    <xf numFmtId="49" fontId="11" fillId="0" borderId="62" xfId="0" applyNumberFormat="1" applyFont="1" applyBorder="1" applyAlignment="1" applyProtection="1">
      <alignment horizontal="left" vertical="center" wrapText="1" shrinkToFit="1"/>
    </xf>
    <xf numFmtId="0" fontId="33" fillId="0" borderId="0" xfId="0" applyFont="1"/>
    <xf numFmtId="3" fontId="29" fillId="0" borderId="0" xfId="0" applyNumberFormat="1" applyFont="1"/>
    <xf numFmtId="3" fontId="10" fillId="10" borderId="48" xfId="0" applyNumberFormat="1" applyFont="1" applyFill="1" applyBorder="1"/>
    <xf numFmtId="3" fontId="10" fillId="10" borderId="2" xfId="0" applyNumberFormat="1" applyFont="1" applyFill="1" applyBorder="1"/>
    <xf numFmtId="3" fontId="10" fillId="10" borderId="53" xfId="0" applyNumberFormat="1" applyFont="1" applyFill="1" applyBorder="1" applyAlignment="1" applyProtection="1">
      <alignment vertical="center" wrapText="1" shrinkToFit="1"/>
    </xf>
    <xf numFmtId="49" fontId="10" fillId="10" borderId="51" xfId="0" applyNumberFormat="1" applyFont="1" applyFill="1" applyBorder="1" applyAlignment="1" applyProtection="1">
      <alignment horizontal="left" vertical="center" wrapText="1" shrinkToFit="1"/>
    </xf>
    <xf numFmtId="49" fontId="10" fillId="10" borderId="49" xfId="0" applyNumberFormat="1" applyFont="1" applyFill="1" applyBorder="1" applyAlignment="1" applyProtection="1">
      <alignment horizontal="left" vertical="center" wrapText="1" shrinkToFit="1"/>
    </xf>
    <xf numFmtId="3" fontId="10" fillId="10" borderId="1" xfId="0" applyNumberFormat="1" applyFont="1" applyFill="1" applyBorder="1" applyAlignment="1" applyProtection="1">
      <alignment vertical="center" wrapText="1" shrinkToFit="1"/>
    </xf>
    <xf numFmtId="49" fontId="10" fillId="10" borderId="51" xfId="0" applyNumberFormat="1" applyFont="1" applyFill="1" applyBorder="1" applyAlignment="1" applyProtection="1">
      <alignment vertical="center" wrapText="1" shrinkToFit="1"/>
    </xf>
    <xf numFmtId="49" fontId="10" fillId="10" borderId="49" xfId="0" applyNumberFormat="1" applyFont="1" applyFill="1" applyBorder="1" applyAlignment="1" applyProtection="1">
      <alignment vertical="center" wrapText="1" shrinkToFit="1"/>
    </xf>
    <xf numFmtId="3" fontId="10" fillId="10" borderId="1" xfId="0" applyNumberFormat="1" applyFont="1" applyFill="1" applyBorder="1" applyAlignment="1">
      <alignment vertical="center"/>
    </xf>
    <xf numFmtId="49" fontId="10" fillId="10" borderId="47" xfId="0" applyNumberFormat="1" applyFont="1" applyFill="1" applyBorder="1" applyAlignment="1" applyProtection="1">
      <alignment vertical="center" wrapText="1" shrinkToFit="1"/>
    </xf>
    <xf numFmtId="3" fontId="10" fillId="11" borderId="40" xfId="0" applyNumberFormat="1" applyFont="1" applyFill="1" applyBorder="1" applyAlignment="1" applyProtection="1">
      <alignment vertical="center" wrapText="1" shrinkToFit="1"/>
    </xf>
    <xf numFmtId="3" fontId="10" fillId="11" borderId="65" xfId="0" applyNumberFormat="1" applyFont="1" applyFill="1" applyBorder="1" applyAlignment="1" applyProtection="1">
      <alignment vertical="center" wrapText="1" shrinkToFit="1"/>
    </xf>
    <xf numFmtId="3" fontId="10" fillId="11" borderId="12" xfId="0" applyNumberFormat="1" applyFont="1" applyFill="1" applyBorder="1" applyAlignment="1" applyProtection="1">
      <alignment vertical="center" wrapText="1" shrinkToFit="1"/>
    </xf>
    <xf numFmtId="49" fontId="10" fillId="10" borderId="66" xfId="0" applyNumberFormat="1" applyFont="1" applyFill="1" applyBorder="1" applyAlignment="1" applyProtection="1">
      <alignment vertical="center" wrapText="1" shrinkToFit="1"/>
    </xf>
    <xf numFmtId="3" fontId="10" fillId="11" borderId="17" xfId="0" applyNumberFormat="1" applyFont="1" applyFill="1" applyBorder="1" applyAlignment="1" applyProtection="1">
      <alignment vertical="center" wrapText="1" shrinkToFit="1"/>
    </xf>
    <xf numFmtId="3" fontId="17" fillId="9" borderId="2" xfId="0" applyNumberFormat="1" applyFont="1" applyFill="1" applyBorder="1"/>
    <xf numFmtId="3" fontId="17" fillId="2" borderId="0" xfId="0" applyNumberFormat="1" applyFont="1" applyFill="1"/>
    <xf numFmtId="0" fontId="21" fillId="6" borderId="37" xfId="0" applyFont="1" applyFill="1" applyBorder="1" applyAlignment="1" applyProtection="1">
      <alignment horizontal="center" vertical="center" wrapText="1" shrinkToFit="1"/>
    </xf>
    <xf numFmtId="0" fontId="22" fillId="0" borderId="44" xfId="0" applyFont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9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169" fontId="0" fillId="0" borderId="0" xfId="0" applyNumberFormat="1"/>
    <xf numFmtId="0" fontId="16" fillId="0" borderId="0" xfId="0" applyFont="1"/>
    <xf numFmtId="170" fontId="0" fillId="0" borderId="0" xfId="0" applyNumberFormat="1"/>
    <xf numFmtId="3" fontId="0" fillId="2" borderId="0" xfId="0" applyNumberFormat="1" applyFill="1"/>
    <xf numFmtId="0" fontId="22" fillId="0" borderId="67" xfId="0" applyFont="1" applyBorder="1" applyAlignment="1" applyProtection="1">
      <alignment vertical="center" wrapText="1"/>
      <protection locked="0"/>
    </xf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34" xfId="0" applyNumberFormat="1" applyFont="1" applyBorder="1" applyAlignment="1" applyProtection="1">
      <alignment horizontal="left" vertical="center" wrapText="1" shrinkToFit="1"/>
    </xf>
    <xf numFmtId="0" fontId="20" fillId="0" borderId="35" xfId="0" applyFont="1" applyBorder="1" applyAlignment="1" applyProtection="1">
      <alignment horizontal="left" vertical="center" wrapText="1" shrinkToFit="1"/>
    </xf>
    <xf numFmtId="3" fontId="20" fillId="0" borderId="35" xfId="0" applyNumberFormat="1" applyFont="1" applyBorder="1" applyAlignment="1" applyProtection="1">
      <alignment horizontal="right" vertical="center" wrapText="1" shrinkToFit="1"/>
    </xf>
    <xf numFmtId="3" fontId="20" fillId="0" borderId="17" xfId="0" applyNumberFormat="1" applyFont="1" applyBorder="1" applyAlignment="1" applyProtection="1">
      <alignment horizontal="right" vertical="center" wrapText="1" shrinkToFit="1"/>
    </xf>
    <xf numFmtId="3" fontId="20" fillId="0" borderId="17" xfId="2" applyNumberFormat="1" applyFont="1" applyBorder="1" applyAlignment="1" applyProtection="1">
      <alignment vertical="center"/>
    </xf>
    <xf numFmtId="0" fontId="16" fillId="2" borderId="0" xfId="0" applyFont="1" applyFill="1"/>
    <xf numFmtId="3" fontId="18" fillId="11" borderId="48" xfId="0" applyNumberFormat="1" applyFont="1" applyFill="1" applyBorder="1" applyAlignment="1" applyProtection="1">
      <alignment vertical="center" wrapText="1"/>
      <protection locked="0"/>
    </xf>
    <xf numFmtId="3" fontId="18" fillId="11" borderId="2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Border="1"/>
    <xf numFmtId="3" fontId="0" fillId="0" borderId="0" xfId="0" applyNumberFormat="1" applyBorder="1"/>
    <xf numFmtId="3" fontId="20" fillId="0" borderId="12" xfId="2" applyNumberFormat="1" applyFont="1" applyBorder="1" applyAlignment="1" applyProtection="1"/>
    <xf numFmtId="3" fontId="20" fillId="0" borderId="17" xfId="2" applyNumberFormat="1" applyFont="1" applyBorder="1" applyAlignment="1" applyProtection="1"/>
    <xf numFmtId="3" fontId="16" fillId="0" borderId="12" xfId="2" applyNumberFormat="1" applyBorder="1" applyAlignment="1" applyProtection="1"/>
    <xf numFmtId="3" fontId="21" fillId="0" borderId="2" xfId="2" applyNumberFormat="1" applyFont="1" applyBorder="1" applyAlignment="1" applyProtection="1"/>
    <xf numFmtId="3" fontId="34" fillId="0" borderId="0" xfId="0" applyNumberFormat="1" applyFont="1"/>
    <xf numFmtId="0" fontId="34" fillId="0" borderId="0" xfId="0" applyFont="1"/>
    <xf numFmtId="49" fontId="22" fillId="0" borderId="3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/>
    <xf numFmtId="3" fontId="22" fillId="0" borderId="43" xfId="0" applyNumberFormat="1" applyFont="1" applyBorder="1" applyAlignment="1" applyProtection="1">
      <alignment vertical="center" wrapText="1"/>
      <protection locked="0"/>
    </xf>
    <xf numFmtId="0" fontId="22" fillId="0" borderId="36" xfId="0" applyFont="1" applyBorder="1" applyAlignment="1" applyProtection="1">
      <alignment vertical="center" wrapText="1"/>
      <protection locked="0"/>
    </xf>
    <xf numFmtId="0" fontId="0" fillId="2" borderId="0" xfId="0" applyFill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3" fontId="40" fillId="0" borderId="0" xfId="1" applyNumberFormat="1" applyBorder="1">
      <protection locked="0"/>
    </xf>
    <xf numFmtId="0" fontId="17" fillId="2" borderId="0" xfId="0" applyFont="1" applyFill="1" applyBorder="1"/>
    <xf numFmtId="3" fontId="17" fillId="2" borderId="0" xfId="1" applyNumberFormat="1" applyFont="1" applyFill="1" applyBorder="1">
      <protection locked="0"/>
    </xf>
    <xf numFmtId="3" fontId="22" fillId="2" borderId="35" xfId="0" applyNumberFormat="1" applyFont="1" applyFill="1" applyBorder="1" applyAlignment="1" applyProtection="1">
      <alignment vertical="center" wrapText="1"/>
      <protection locked="0"/>
    </xf>
    <xf numFmtId="3" fontId="22" fillId="2" borderId="17" xfId="0" applyNumberFormat="1" applyFont="1" applyFill="1" applyBorder="1" applyAlignment="1" applyProtection="1">
      <alignment vertical="center" wrapText="1"/>
      <protection locked="0"/>
    </xf>
    <xf numFmtId="3" fontId="18" fillId="2" borderId="8" xfId="0" applyNumberFormat="1" applyFont="1" applyFill="1" applyBorder="1" applyAlignment="1" applyProtection="1">
      <alignment vertical="center" wrapText="1"/>
      <protection locked="0"/>
    </xf>
    <xf numFmtId="3" fontId="18" fillId="2" borderId="2" xfId="0" applyNumberFormat="1" applyFont="1" applyFill="1" applyBorder="1" applyAlignment="1" applyProtection="1">
      <alignment vertical="center" wrapText="1"/>
      <protection locked="0"/>
    </xf>
    <xf numFmtId="3" fontId="18" fillId="2" borderId="48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3" fontId="20" fillId="0" borderId="21" xfId="0" applyNumberFormat="1" applyFont="1" applyBorder="1" applyAlignment="1" applyProtection="1">
      <alignment horizontal="right" vertical="center" wrapText="1" shrinkToFit="1"/>
    </xf>
    <xf numFmtId="3" fontId="22" fillId="0" borderId="21" xfId="0" applyNumberFormat="1" applyFont="1" applyBorder="1" applyAlignment="1" applyProtection="1">
      <alignment vertical="center" wrapText="1"/>
      <protection locked="0"/>
    </xf>
    <xf numFmtId="169" fontId="22" fillId="0" borderId="0" xfId="0" applyNumberFormat="1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left"/>
    </xf>
    <xf numFmtId="0" fontId="17" fillId="9" borderId="4" xfId="0" applyFont="1" applyFill="1" applyBorder="1" applyAlignment="1">
      <alignment horizontal="left"/>
    </xf>
    <xf numFmtId="0" fontId="21" fillId="12" borderId="38" xfId="0" applyFont="1" applyFill="1" applyBorder="1" applyAlignment="1" applyProtection="1">
      <alignment horizontal="center" vertical="center" wrapText="1" shrinkToFit="1"/>
    </xf>
    <xf numFmtId="0" fontId="25" fillId="0" borderId="0" xfId="0" applyFont="1" applyAlignment="1">
      <alignment horizontal="center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center" vertical="center" wrapText="1"/>
      <protection locked="0"/>
    </xf>
    <xf numFmtId="3" fontId="22" fillId="0" borderId="14" xfId="0" applyNumberFormat="1" applyFont="1" applyBorder="1" applyAlignment="1" applyProtection="1">
      <alignment vertical="center" wrapText="1"/>
      <protection locked="0"/>
    </xf>
    <xf numFmtId="3" fontId="18" fillId="4" borderId="14" xfId="0" applyNumberFormat="1" applyFont="1" applyFill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horizontal="center" vertical="center" wrapText="1"/>
      <protection locked="0"/>
    </xf>
    <xf numFmtId="9" fontId="20" fillId="0" borderId="30" xfId="0" applyNumberFormat="1" applyFont="1" applyBorder="1" applyAlignment="1">
      <alignment horizontal="center" vertical="center" wrapText="1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9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0" xfId="0" applyNumberFormat="1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4" fillId="0" borderId="64" xfId="0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3" fontId="25" fillId="0" borderId="0" xfId="0" applyNumberFormat="1" applyFont="1"/>
    <xf numFmtId="0" fontId="29" fillId="0" borderId="0" xfId="0" applyFont="1"/>
    <xf numFmtId="3" fontId="18" fillId="4" borderId="8" xfId="0" applyNumberFormat="1" applyFont="1" applyFill="1" applyBorder="1" applyAlignment="1" applyProtection="1">
      <alignment vertical="center" wrapText="1"/>
      <protection locked="0"/>
    </xf>
    <xf numFmtId="3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18" fillId="4" borderId="21" xfId="0" applyNumberFormat="1" applyFont="1" applyFill="1" applyBorder="1" applyAlignment="1" applyProtection="1">
      <alignment vertical="center" wrapText="1"/>
      <protection locked="0"/>
    </xf>
    <xf numFmtId="3" fontId="36" fillId="0" borderId="0" xfId="0" applyNumberFormat="1" applyFont="1"/>
    <xf numFmtId="9" fontId="22" fillId="4" borderId="35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2" xfId="0" applyNumberFormat="1" applyFont="1" applyFill="1" applyBorder="1" applyAlignment="1" applyProtection="1">
      <alignment vertical="center" wrapText="1"/>
      <protection locked="0"/>
    </xf>
    <xf numFmtId="3" fontId="37" fillId="0" borderId="0" xfId="0" applyNumberFormat="1" applyFont="1"/>
    <xf numFmtId="3" fontId="22" fillId="0" borderId="28" xfId="0" applyNumberFormat="1" applyFont="1" applyBorder="1" applyAlignment="1" applyProtection="1">
      <alignment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0" fontId="26" fillId="2" borderId="0" xfId="0" applyFont="1" applyFill="1"/>
    <xf numFmtId="171" fontId="2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4" xfId="2" applyNumberFormat="1" applyFont="1" applyBorder="1" applyAlignment="1" applyProtection="1"/>
    <xf numFmtId="3" fontId="22" fillId="0" borderId="35" xfId="0" applyNumberFormat="1" applyFont="1" applyBorder="1" applyAlignment="1" applyProtection="1">
      <alignment horizontal="center" vertical="center" wrapText="1"/>
      <protection locked="0"/>
    </xf>
    <xf numFmtId="3" fontId="20" fillId="0" borderId="21" xfId="2" applyNumberFormat="1" applyFont="1" applyBorder="1" applyAlignment="1" applyProtection="1"/>
    <xf numFmtId="3" fontId="38" fillId="0" borderId="14" xfId="2" applyNumberFormat="1" applyFont="1" applyBorder="1" applyAlignment="1" applyProtection="1"/>
    <xf numFmtId="3" fontId="21" fillId="13" borderId="2" xfId="2" applyNumberFormat="1" applyFont="1" applyFill="1" applyBorder="1" applyAlignment="1" applyProtection="1"/>
    <xf numFmtId="0" fontId="25" fillId="0" borderId="0" xfId="0" applyFont="1"/>
    <xf numFmtId="3" fontId="24" fillId="4" borderId="30" xfId="0" applyNumberFormat="1" applyFont="1" applyFill="1" applyBorder="1" applyAlignment="1" applyProtection="1">
      <alignment vertical="center" wrapText="1"/>
      <protection locked="0"/>
    </xf>
    <xf numFmtId="0" fontId="22" fillId="4" borderId="37" xfId="0" applyFont="1" applyFill="1" applyBorder="1" applyAlignment="1" applyProtection="1">
      <alignment vertical="center" wrapText="1"/>
      <protection locked="0"/>
    </xf>
    <xf numFmtId="3" fontId="22" fillId="4" borderId="37" xfId="0" applyNumberFormat="1" applyFont="1" applyFill="1" applyBorder="1" applyAlignment="1" applyProtection="1">
      <alignment vertical="center" wrapText="1"/>
      <protection locked="0"/>
    </xf>
    <xf numFmtId="9" fontId="22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38" xfId="0" applyNumberFormat="1" applyFont="1" applyFill="1" applyBorder="1" applyAlignment="1" applyProtection="1">
      <alignment vertical="center" wrapText="1"/>
      <protection locked="0"/>
    </xf>
    <xf numFmtId="3" fontId="22" fillId="2" borderId="14" xfId="0" applyNumberFormat="1" applyFont="1" applyFill="1" applyBorder="1" applyAlignment="1" applyProtection="1">
      <alignment vertical="center" wrapText="1"/>
      <protection locked="0"/>
    </xf>
    <xf numFmtId="171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0" fontId="37" fillId="0" borderId="0" xfId="0" applyFont="1"/>
    <xf numFmtId="49" fontId="22" fillId="0" borderId="54" xfId="0" applyNumberFormat="1" applyFont="1" applyBorder="1" applyAlignment="1" applyProtection="1">
      <alignment vertical="center" wrapText="1"/>
      <protection locked="0"/>
    </xf>
    <xf numFmtId="49" fontId="20" fillId="2" borderId="59" xfId="0" applyNumberFormat="1" applyFont="1" applyFill="1" applyBorder="1" applyAlignment="1" applyProtection="1">
      <alignment horizontal="left" vertical="center" wrapText="1" shrinkToFit="1"/>
    </xf>
    <xf numFmtId="0" fontId="39" fillId="0" borderId="0" xfId="0" applyFont="1"/>
    <xf numFmtId="0" fontId="39" fillId="2" borderId="0" xfId="0" applyFont="1" applyFill="1"/>
    <xf numFmtId="0" fontId="20" fillId="0" borderId="35" xfId="0" applyFont="1" applyBorder="1" applyAlignment="1" applyProtection="1">
      <alignment vertical="center" wrapText="1" shrinkToFit="1"/>
    </xf>
    <xf numFmtId="0" fontId="21" fillId="0" borderId="30" xfId="0" applyFont="1" applyBorder="1" applyAlignment="1" applyProtection="1">
      <alignment horizontal="center" vertical="center" wrapText="1" shrinkToFit="1"/>
    </xf>
    <xf numFmtId="3" fontId="21" fillId="0" borderId="21" xfId="0" applyNumberFormat="1" applyFont="1" applyBorder="1" applyAlignment="1" applyProtection="1">
      <alignment horizontal="right" vertical="center" wrapText="1" shrinkToFit="1"/>
    </xf>
    <xf numFmtId="0" fontId="26" fillId="0" borderId="0" xfId="0" applyFont="1" applyBorder="1" applyAlignment="1">
      <alignment horizontal="left"/>
    </xf>
    <xf numFmtId="3" fontId="22" fillId="0" borderId="0" xfId="0" applyNumberFormat="1" applyFont="1" applyBorder="1" applyAlignment="1" applyProtection="1">
      <alignment vertical="center" wrapText="1"/>
      <protection locked="0"/>
    </xf>
    <xf numFmtId="3" fontId="24" fillId="0" borderId="20" xfId="0" applyNumberFormat="1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3" fontId="24" fillId="0" borderId="21" xfId="0" applyNumberFormat="1" applyFont="1" applyBorder="1" applyAlignment="1" applyProtection="1">
      <alignment vertical="center" wrapText="1"/>
      <protection locked="0"/>
    </xf>
    <xf numFmtId="0" fontId="18" fillId="4" borderId="52" xfId="0" applyFont="1" applyFill="1" applyBorder="1" applyAlignment="1" applyProtection="1">
      <alignment vertical="center" wrapText="1"/>
      <protection locked="0"/>
    </xf>
    <xf numFmtId="3" fontId="22" fillId="4" borderId="52" xfId="0" applyNumberFormat="1" applyFont="1" applyFill="1" applyBorder="1" applyAlignment="1" applyProtection="1">
      <alignment vertical="center" wrapText="1"/>
      <protection locked="0"/>
    </xf>
    <xf numFmtId="3" fontId="18" fillId="4" borderId="70" xfId="0" applyNumberFormat="1" applyFont="1" applyFill="1" applyBorder="1" applyAlignment="1" applyProtection="1">
      <alignment vertical="center" wrapText="1"/>
      <protection locked="0"/>
    </xf>
    <xf numFmtId="49" fontId="20" fillId="2" borderId="34" xfId="0" applyNumberFormat="1" applyFont="1" applyFill="1" applyBorder="1" applyAlignment="1">
      <alignment vertical="center" wrapText="1"/>
    </xf>
    <xf numFmtId="3" fontId="24" fillId="0" borderId="35" xfId="0" applyNumberFormat="1" applyFont="1" applyBorder="1" applyAlignment="1" applyProtection="1">
      <alignment vertical="center" wrapText="1"/>
      <protection locked="0"/>
    </xf>
    <xf numFmtId="49" fontId="20" fillId="2" borderId="29" xfId="0" applyNumberFormat="1" applyFont="1" applyFill="1" applyBorder="1" applyAlignment="1">
      <alignment vertical="center" wrapText="1"/>
    </xf>
    <xf numFmtId="0" fontId="39" fillId="0" borderId="0" xfId="0" applyFont="1" applyBorder="1"/>
    <xf numFmtId="3" fontId="22" fillId="0" borderId="37" xfId="0" applyNumberFormat="1" applyFont="1" applyBorder="1" applyAlignment="1" applyProtection="1">
      <alignment horizontal="center" vertical="center" wrapText="1"/>
      <protection locked="0"/>
    </xf>
    <xf numFmtId="3" fontId="17" fillId="12" borderId="2" xfId="0" applyNumberFormat="1" applyFont="1" applyFill="1" applyBorder="1"/>
    <xf numFmtId="165" fontId="40" fillId="0" borderId="29" xfId="1" applyNumberFormat="1" applyBorder="1">
      <protection locked="0"/>
    </xf>
    <xf numFmtId="165" fontId="40" fillId="0" borderId="64" xfId="1" applyNumberFormat="1" applyBorder="1">
      <protection locked="0"/>
    </xf>
    <xf numFmtId="165" fontId="40" fillId="0" borderId="41" xfId="1" applyNumberFormat="1" applyBorder="1">
      <protection locked="0"/>
    </xf>
    <xf numFmtId="165" fontId="40" fillId="0" borderId="34" xfId="1" applyNumberFormat="1" applyBorder="1">
      <protection locked="0"/>
    </xf>
    <xf numFmtId="165" fontId="40" fillId="0" borderId="67" xfId="1" applyNumberFormat="1" applyBorder="1">
      <protection locked="0"/>
    </xf>
    <xf numFmtId="165" fontId="40" fillId="0" borderId="50" xfId="1" applyNumberFormat="1" applyBorder="1">
      <protection locked="0"/>
    </xf>
    <xf numFmtId="3" fontId="16" fillId="0" borderId="0" xfId="1" applyNumberFormat="1" applyFont="1" applyBorder="1" applyAlignment="1">
      <alignment vertical="center" readingOrder="1"/>
      <protection locked="0"/>
    </xf>
    <xf numFmtId="3" fontId="17" fillId="0" borderId="0" xfId="0" applyNumberFormat="1" applyFont="1" applyBorder="1"/>
    <xf numFmtId="0" fontId="22" fillId="0" borderId="30" xfId="0" applyFont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5" xfId="0" applyNumberFormat="1" applyFont="1" applyBorder="1" applyAlignment="1" applyProtection="1">
      <alignment vertical="center" wrapText="1"/>
      <protection locked="0"/>
    </xf>
    <xf numFmtId="0" fontId="26" fillId="0" borderId="0" xfId="0" applyFont="1" applyAlignment="1">
      <alignment horizontal="left"/>
    </xf>
    <xf numFmtId="9" fontId="22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25" fillId="0" borderId="0" xfId="0" applyNumberFormat="1" applyFont="1" applyFill="1"/>
    <xf numFmtId="0" fontId="22" fillId="0" borderId="30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18" fillId="0" borderId="14" xfId="0" applyNumberFormat="1" applyFont="1" applyFill="1" applyBorder="1" applyAlignment="1" applyProtection="1">
      <alignment vertical="center" wrapText="1"/>
      <protection locked="0"/>
    </xf>
    <xf numFmtId="3" fontId="22" fillId="0" borderId="14" xfId="0" applyNumberFormat="1" applyFont="1" applyFill="1" applyBorder="1" applyAlignment="1" applyProtection="1">
      <alignment vertical="center" wrapText="1"/>
      <protection locked="0"/>
    </xf>
    <xf numFmtId="9" fontId="22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8" fillId="17" borderId="14" xfId="0" applyNumberFormat="1" applyFont="1" applyFill="1" applyBorder="1" applyAlignment="1" applyProtection="1">
      <alignment vertical="center" wrapText="1"/>
      <protection locked="0"/>
    </xf>
    <xf numFmtId="0" fontId="7" fillId="18" borderId="0" xfId="0" applyFont="1" applyFill="1"/>
    <xf numFmtId="3" fontId="7" fillId="16" borderId="0" xfId="0" applyNumberFormat="1" applyFont="1" applyFill="1"/>
    <xf numFmtId="0" fontId="7" fillId="16" borderId="0" xfId="0" applyFont="1" applyFill="1"/>
    <xf numFmtId="0" fontId="0" fillId="0" borderId="0" xfId="0" applyFont="1" applyFill="1"/>
    <xf numFmtId="9" fontId="2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20" fillId="0" borderId="35" xfId="0" applyFont="1" applyBorder="1" applyAlignment="1" applyProtection="1">
      <alignment horizontal="right" vertical="center" wrapText="1" shrinkToFit="1"/>
    </xf>
    <xf numFmtId="165" fontId="1" fillId="0" borderId="0" xfId="0" applyNumberFormat="1" applyFont="1"/>
    <xf numFmtId="3" fontId="7" fillId="0" borderId="0" xfId="0" applyNumberFormat="1" applyFont="1"/>
    <xf numFmtId="49" fontId="20" fillId="2" borderId="36" xfId="0" applyNumberFormat="1" applyFont="1" applyFill="1" applyBorder="1" applyAlignment="1">
      <alignment vertical="center" wrapText="1"/>
    </xf>
    <xf numFmtId="49" fontId="42" fillId="3" borderId="29" xfId="0" applyNumberFormat="1" applyFont="1" applyFill="1" applyBorder="1" applyAlignment="1">
      <alignment horizontal="center"/>
    </xf>
    <xf numFmtId="3" fontId="20" fillId="0" borderId="30" xfId="1" applyNumberFormat="1" applyFont="1" applyBorder="1">
      <protection locked="0"/>
    </xf>
    <xf numFmtId="3" fontId="20" fillId="0" borderId="12" xfId="1" applyNumberFormat="1" applyFont="1" applyBorder="1">
      <protection locked="0"/>
    </xf>
    <xf numFmtId="0" fontId="0" fillId="0" borderId="0" xfId="0" applyFill="1"/>
    <xf numFmtId="3" fontId="22" fillId="0" borderId="35" xfId="0" applyNumberFormat="1" applyFont="1" applyBorder="1" applyAlignment="1" applyProtection="1">
      <alignment vertical="center" wrapText="1"/>
      <protection locked="0"/>
    </xf>
    <xf numFmtId="0" fontId="22" fillId="4" borderId="41" xfId="0" applyFont="1" applyFill="1" applyBorder="1" applyAlignment="1" applyProtection="1">
      <alignment vertical="center" wrapText="1"/>
      <protection locked="0"/>
    </xf>
    <xf numFmtId="3" fontId="22" fillId="0" borderId="0" xfId="0" applyNumberFormat="1" applyFont="1" applyFill="1" applyBorder="1" applyAlignment="1" applyProtection="1">
      <alignment vertical="center" wrapText="1"/>
      <protection locked="0"/>
    </xf>
    <xf numFmtId="3" fontId="22" fillId="0" borderId="21" xfId="0" applyNumberFormat="1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vertical="center" wrapText="1"/>
      <protection locked="0"/>
    </xf>
    <xf numFmtId="49" fontId="12" fillId="5" borderId="54" xfId="0" applyNumberFormat="1" applyFont="1" applyFill="1" applyBorder="1" applyAlignment="1" applyProtection="1">
      <alignment vertical="center" wrapText="1" shrinkToFit="1"/>
    </xf>
    <xf numFmtId="49" fontId="12" fillId="5" borderId="74" xfId="0" applyNumberFormat="1" applyFont="1" applyFill="1" applyBorder="1" applyAlignment="1" applyProtection="1">
      <alignment vertical="center" wrapText="1" shrinkToFit="1"/>
    </xf>
    <xf numFmtId="3" fontId="12" fillId="3" borderId="39" xfId="0" applyNumberFormat="1" applyFont="1" applyFill="1" applyBorder="1" applyAlignment="1" applyProtection="1">
      <alignment vertical="center" wrapText="1" shrinkToFit="1"/>
    </xf>
    <xf numFmtId="0" fontId="43" fillId="0" borderId="0" xfId="0" applyFont="1"/>
    <xf numFmtId="0" fontId="44" fillId="0" borderId="0" xfId="0" applyFont="1"/>
    <xf numFmtId="168" fontId="44" fillId="0" borderId="0" xfId="2" applyNumberFormat="1" applyFont="1" applyBorder="1" applyAlignment="1" applyProtection="1"/>
    <xf numFmtId="167" fontId="44" fillId="0" borderId="0" xfId="2" applyNumberFormat="1" applyFont="1" applyBorder="1" applyAlignment="1" applyProtection="1"/>
    <xf numFmtId="0" fontId="45" fillId="0" borderId="0" xfId="0" applyFont="1"/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9" fontId="40" fillId="0" borderId="13" xfId="1" applyNumberFormat="1" applyBorder="1" applyAlignment="1">
      <alignment horizontal="center"/>
      <protection locked="0"/>
    </xf>
    <xf numFmtId="9" fontId="40" fillId="0" borderId="27" xfId="1" applyNumberFormat="1" applyBorder="1" applyAlignment="1">
      <alignment horizontal="center"/>
      <protection locked="0"/>
    </xf>
    <xf numFmtId="0" fontId="8" fillId="19" borderId="37" xfId="0" applyFont="1" applyFill="1" applyBorder="1" applyAlignment="1" applyProtection="1">
      <alignment horizontal="center" vertical="center" wrapText="1" shrinkToFit="1"/>
    </xf>
    <xf numFmtId="3" fontId="11" fillId="0" borderId="25" xfId="0" applyNumberFormat="1" applyFont="1" applyBorder="1" applyAlignment="1" applyProtection="1">
      <alignment vertical="center" wrapText="1" shrinkToFit="1"/>
    </xf>
    <xf numFmtId="3" fontId="11" fillId="0" borderId="30" xfId="0" applyNumberFormat="1" applyFont="1" applyBorder="1" applyAlignment="1" applyProtection="1">
      <alignment vertical="center" wrapText="1" shrinkToFit="1"/>
    </xf>
    <xf numFmtId="3" fontId="11" fillId="0" borderId="45" xfId="0" applyNumberFormat="1" applyFont="1" applyBorder="1" applyAlignment="1" applyProtection="1">
      <alignment vertical="center" wrapText="1" shrinkToFit="1"/>
    </xf>
    <xf numFmtId="0" fontId="46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165" fontId="40" fillId="0" borderId="71" xfId="1" applyNumberFormat="1" applyBorder="1">
      <protection locked="0"/>
    </xf>
    <xf numFmtId="0" fontId="1" fillId="3" borderId="58" xfId="0" applyFont="1" applyFill="1" applyBorder="1"/>
    <xf numFmtId="0" fontId="1" fillId="3" borderId="41" xfId="0" applyFont="1" applyFill="1" applyBorder="1"/>
    <xf numFmtId="0" fontId="1" fillId="3" borderId="50" xfId="0" applyFont="1" applyFill="1" applyBorder="1"/>
    <xf numFmtId="0" fontId="1" fillId="3" borderId="42" xfId="0" applyFont="1" applyFill="1" applyBorder="1"/>
    <xf numFmtId="165" fontId="40" fillId="0" borderId="15" xfId="1" applyNumberFormat="1" applyBorder="1">
      <protection locked="0"/>
    </xf>
    <xf numFmtId="165" fontId="40" fillId="0" borderId="18" xfId="1" applyNumberFormat="1" applyBorder="1">
      <protection locked="0"/>
    </xf>
    <xf numFmtId="165" fontId="40" fillId="0" borderId="69" xfId="1" applyNumberFormat="1" applyBorder="1"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0" borderId="48" xfId="0" applyNumberFormat="1" applyFont="1" applyBorder="1" applyAlignment="1" applyProtection="1">
      <alignment horizontal="center" vertical="center" wrapText="1"/>
      <protection locked="0"/>
    </xf>
    <xf numFmtId="3" fontId="20" fillId="0" borderId="35" xfId="0" applyNumberFormat="1" applyFont="1" applyBorder="1" applyAlignment="1" applyProtection="1">
      <alignment horizontal="center" vertical="center" wrapText="1" shrinkToFit="1"/>
    </xf>
    <xf numFmtId="3" fontId="22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center" vertical="center" wrapText="1"/>
      <protection locked="0"/>
    </xf>
    <xf numFmtId="3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7" fillId="9" borderId="2" xfId="0" applyNumberFormat="1" applyFont="1" applyFill="1" applyBorder="1" applyAlignment="1">
      <alignment horizontal="center"/>
    </xf>
    <xf numFmtId="3" fontId="9" fillId="0" borderId="45" xfId="0" applyNumberFormat="1" applyFont="1" applyBorder="1" applyAlignment="1" applyProtection="1">
      <alignment horizontal="center" vertical="center" wrapText="1" shrinkToFit="1"/>
    </xf>
    <xf numFmtId="3" fontId="22" fillId="0" borderId="45" xfId="0" applyNumberFormat="1" applyFont="1" applyBorder="1" applyAlignment="1" applyProtection="1">
      <alignment horizontal="center" wrapText="1"/>
      <protection locked="0"/>
    </xf>
    <xf numFmtId="3" fontId="20" fillId="0" borderId="45" xfId="1" applyNumberFormat="1" applyFont="1" applyBorder="1" applyAlignment="1">
      <alignment horizontal="center"/>
      <protection locked="0"/>
    </xf>
    <xf numFmtId="3" fontId="25" fillId="0" borderId="45" xfId="1" applyNumberFormat="1" applyFont="1" applyBorder="1" applyAlignment="1">
      <alignment horizontal="center"/>
      <protection locked="0"/>
    </xf>
    <xf numFmtId="3" fontId="22" fillId="4" borderId="41" xfId="0" applyNumberFormat="1" applyFont="1" applyFill="1" applyBorder="1" applyAlignment="1" applyProtection="1">
      <alignment vertical="center" wrapText="1"/>
      <protection locked="0"/>
    </xf>
    <xf numFmtId="3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3" fontId="10" fillId="5" borderId="49" xfId="0" applyNumberFormat="1" applyFont="1" applyFill="1" applyBorder="1" applyAlignment="1" applyProtection="1">
      <alignment horizontal="center" vertical="center" wrapText="1" shrinkToFit="1"/>
    </xf>
    <xf numFmtId="3" fontId="10" fillId="5" borderId="48" xfId="0" applyNumberFormat="1" applyFont="1" applyFill="1" applyBorder="1" applyAlignment="1" applyProtection="1">
      <alignment horizontal="center" vertical="center" wrapText="1" shrinkToFit="1"/>
    </xf>
    <xf numFmtId="3" fontId="12" fillId="5" borderId="48" xfId="0" applyNumberFormat="1" applyFont="1" applyFill="1" applyBorder="1" applyAlignment="1" applyProtection="1">
      <alignment horizontal="center" vertical="center" wrapText="1" shrinkToFit="1"/>
    </xf>
    <xf numFmtId="3" fontId="12" fillId="3" borderId="48" xfId="0" applyNumberFormat="1" applyFont="1" applyFill="1" applyBorder="1" applyAlignment="1" applyProtection="1">
      <alignment horizontal="center" vertical="center" wrapText="1" shrinkToFit="1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4" borderId="35" xfId="0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59" xfId="0" applyNumberFormat="1" applyFont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22" fillId="4" borderId="35" xfId="0" applyNumberFormat="1" applyFont="1" applyFill="1" applyBorder="1" applyAlignment="1" applyProtection="1">
      <alignment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7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9" fontId="22" fillId="0" borderId="45" xfId="0" applyNumberFormat="1" applyFont="1" applyBorder="1" applyAlignment="1" applyProtection="1">
      <alignment horizontal="center"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14" xfId="2" applyNumberFormat="1" applyFont="1" applyFill="1" applyBorder="1" applyAlignment="1" applyProtection="1"/>
    <xf numFmtId="171" fontId="22" fillId="0" borderId="30" xfId="0" applyNumberFormat="1" applyFont="1" applyFill="1" applyBorder="1" applyAlignment="1" applyProtection="1">
      <alignment horizontal="center" vertical="center" wrapText="1"/>
      <protection locked="0"/>
    </xf>
    <xf numFmtId="172" fontId="22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52" xfId="0" applyNumberFormat="1" applyFont="1" applyBorder="1" applyAlignment="1" applyProtection="1">
      <alignment vertical="center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Border="1" applyAlignment="1" applyProtection="1">
      <alignment vertical="center" wrapText="1"/>
      <protection locked="0"/>
    </xf>
    <xf numFmtId="3" fontId="18" fillId="13" borderId="1" xfId="0" applyNumberFormat="1" applyFont="1" applyFill="1" applyBorder="1" applyAlignment="1" applyProtection="1">
      <alignment vertical="center" wrapText="1"/>
      <protection locked="0"/>
    </xf>
    <xf numFmtId="0" fontId="21" fillId="0" borderId="60" xfId="0" applyFont="1" applyFill="1" applyBorder="1" applyAlignment="1" applyProtection="1">
      <alignment horizontal="center" vertical="center" wrapText="1" shrinkToFit="1"/>
    </xf>
    <xf numFmtId="3" fontId="20" fillId="0" borderId="60" xfId="0" applyNumberFormat="1" applyFont="1" applyFill="1" applyBorder="1" applyAlignment="1" applyProtection="1">
      <alignment horizontal="right" vertical="center" wrapText="1" shrinkToFit="1"/>
    </xf>
    <xf numFmtId="9" fontId="22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5" xfId="0" applyFont="1" applyFill="1" applyBorder="1" applyAlignment="1" applyProtection="1">
      <alignment vertical="center" wrapText="1"/>
      <protection locked="0"/>
    </xf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3" fontId="18" fillId="0" borderId="21" xfId="0" applyNumberFormat="1" applyFont="1" applyFill="1" applyBorder="1" applyAlignment="1" applyProtection="1">
      <alignment vertical="center" wrapText="1"/>
      <protection locked="0"/>
    </xf>
    <xf numFmtId="0" fontId="22" fillId="0" borderId="29" xfId="0" applyFont="1" applyFill="1" applyBorder="1" applyAlignment="1" applyProtection="1">
      <alignment vertical="center" wrapText="1"/>
      <protection locked="0"/>
    </xf>
    <xf numFmtId="0" fontId="17" fillId="0" borderId="0" xfId="0" applyFont="1" applyFill="1"/>
    <xf numFmtId="3" fontId="21" fillId="0" borderId="33" xfId="0" applyNumberFormat="1" applyFont="1" applyFill="1" applyBorder="1" applyAlignment="1" applyProtection="1">
      <alignment horizontal="right" vertical="center" wrapText="1" shrinkToFit="1"/>
    </xf>
    <xf numFmtId="0" fontId="22" fillId="0" borderId="66" xfId="0" applyFont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horizontal="center" vertical="center" wrapText="1"/>
      <protection locked="0"/>
    </xf>
    <xf numFmtId="3" fontId="18" fillId="0" borderId="53" xfId="0" applyNumberFormat="1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Fill="1" applyBorder="1" applyAlignment="1" applyProtection="1">
      <alignment horizontal="right" vertical="center" wrapText="1" shrinkToFit="1"/>
    </xf>
    <xf numFmtId="0" fontId="7" fillId="17" borderId="0" xfId="0" applyFont="1" applyFill="1"/>
    <xf numFmtId="0" fontId="0" fillId="17" borderId="0" xfId="0" applyFill="1"/>
    <xf numFmtId="6" fontId="7" fillId="17" borderId="0" xfId="0" applyNumberFormat="1" applyFont="1" applyFill="1"/>
    <xf numFmtId="9" fontId="22" fillId="4" borderId="41" xfId="0" applyNumberFormat="1" applyFont="1" applyFill="1" applyBorder="1" applyAlignment="1" applyProtection="1">
      <alignment horizontal="center" vertical="center" wrapText="1"/>
      <protection locked="0"/>
    </xf>
    <xf numFmtId="3" fontId="18" fillId="13" borderId="39" xfId="0" applyNumberFormat="1" applyFont="1" applyFill="1" applyBorder="1" applyAlignment="1" applyProtection="1">
      <alignment vertical="center" wrapText="1"/>
      <protection locked="0"/>
    </xf>
    <xf numFmtId="3" fontId="22" fillId="2" borderId="45" xfId="0" applyNumberFormat="1" applyFont="1" applyFill="1" applyBorder="1" applyAlignment="1" applyProtection="1">
      <alignment vertical="center" wrapText="1"/>
      <protection locked="0"/>
    </xf>
    <xf numFmtId="3" fontId="22" fillId="2" borderId="9" xfId="0" applyNumberFormat="1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horizontal="right" vertical="center" wrapText="1"/>
      <protection locked="0"/>
    </xf>
    <xf numFmtId="3" fontId="22" fillId="0" borderId="64" xfId="0" applyNumberFormat="1" applyFont="1" applyBorder="1" applyAlignment="1" applyProtection="1">
      <alignment horizontal="center" vertical="center" wrapText="1"/>
      <protection locked="0"/>
    </xf>
    <xf numFmtId="49" fontId="22" fillId="0" borderId="5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0" fontId="25" fillId="2" borderId="0" xfId="0" applyFont="1" applyFill="1"/>
    <xf numFmtId="0" fontId="25" fillId="0" borderId="0" xfId="0" applyFont="1" applyFill="1"/>
    <xf numFmtId="170" fontId="25" fillId="0" borderId="0" xfId="0" applyNumberFormat="1" applyFont="1"/>
    <xf numFmtId="0" fontId="47" fillId="2" borderId="0" xfId="0" applyFont="1" applyFill="1"/>
    <xf numFmtId="0" fontId="25" fillId="0" borderId="0" xfId="0" applyFont="1" applyBorder="1"/>
    <xf numFmtId="0" fontId="47" fillId="0" borderId="0" xfId="0" applyFont="1" applyFill="1"/>
    <xf numFmtId="0" fontId="48" fillId="0" borderId="0" xfId="0" applyFont="1" applyFill="1"/>
    <xf numFmtId="3" fontId="48" fillId="0" borderId="0" xfId="0" applyNumberFormat="1" applyFont="1"/>
    <xf numFmtId="3" fontId="24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0" xfId="0" applyFont="1" applyFill="1" applyBorder="1" applyAlignment="1" applyProtection="1">
      <alignment vertical="center" wrapText="1"/>
      <protection locked="0"/>
    </xf>
    <xf numFmtId="3" fontId="20" fillId="0" borderId="30" xfId="0" applyNumberFormat="1" applyFont="1" applyFill="1" applyBorder="1" applyAlignment="1" applyProtection="1">
      <alignment vertical="center" wrapText="1"/>
      <protection locked="0"/>
    </xf>
    <xf numFmtId="3" fontId="20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21" fillId="0" borderId="14" xfId="0" applyNumberFormat="1" applyFont="1" applyFill="1" applyBorder="1" applyAlignment="1" applyProtection="1">
      <alignment vertical="center" wrapText="1"/>
      <protection locked="0"/>
    </xf>
    <xf numFmtId="0" fontId="22" fillId="0" borderId="25" xfId="0" applyFont="1" applyFill="1" applyBorder="1" applyAlignment="1" applyProtection="1">
      <alignment vertical="center" wrapText="1"/>
      <protection locked="0"/>
    </xf>
    <xf numFmtId="3" fontId="18" fillId="0" borderId="26" xfId="0" applyNumberFormat="1" applyFont="1" applyFill="1" applyBorder="1" applyAlignment="1" applyProtection="1">
      <alignment vertical="center" wrapText="1"/>
      <protection locked="0"/>
    </xf>
    <xf numFmtId="0" fontId="22" fillId="0" borderId="45" xfId="0" applyFont="1" applyFill="1" applyBorder="1" applyAlignment="1" applyProtection="1">
      <alignment vertical="center" wrapText="1"/>
      <protection locked="0"/>
    </xf>
    <xf numFmtId="49" fontId="22" fillId="0" borderId="24" xfId="0" applyNumberFormat="1" applyFont="1" applyBorder="1" applyAlignment="1" applyProtection="1">
      <alignment vertical="center" wrapText="1"/>
      <protection locked="0"/>
    </xf>
    <xf numFmtId="3" fontId="22" fillId="0" borderId="26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horizontal="left" vertical="center" wrapText="1"/>
      <protection locked="0"/>
    </xf>
    <xf numFmtId="0" fontId="0" fillId="0" borderId="30" xfId="0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9" fontId="20" fillId="0" borderId="30" xfId="0" applyNumberFormat="1" applyFont="1" applyFill="1" applyBorder="1" applyAlignment="1">
      <alignment horizontal="center" vertical="center" wrapText="1"/>
    </xf>
    <xf numFmtId="3" fontId="18" fillId="0" borderId="55" xfId="0" applyNumberFormat="1" applyFont="1" applyFill="1" applyBorder="1" applyAlignment="1" applyProtection="1">
      <alignment vertical="center" wrapText="1"/>
      <protection locked="0"/>
    </xf>
    <xf numFmtId="0" fontId="21" fillId="0" borderId="45" xfId="0" applyFont="1" applyBorder="1" applyAlignment="1" applyProtection="1">
      <alignment horizontal="center" vertical="center" wrapText="1" shrinkToFit="1"/>
    </xf>
    <xf numFmtId="3" fontId="21" fillId="0" borderId="33" xfId="0" applyNumberFormat="1" applyFont="1" applyBorder="1" applyAlignment="1" applyProtection="1">
      <alignment horizontal="right" vertical="center" wrapText="1" shrinkToFit="1"/>
    </xf>
    <xf numFmtId="49" fontId="20" fillId="2" borderId="24" xfId="0" applyNumberFormat="1" applyFont="1" applyFill="1" applyBorder="1" applyAlignment="1">
      <alignment horizontal="left" vertical="center" wrapText="1"/>
    </xf>
    <xf numFmtId="0" fontId="20" fillId="0" borderId="45" xfId="0" applyFont="1" applyBorder="1" applyAlignment="1" applyProtection="1">
      <alignment horizontal="center" vertical="center" wrapText="1" shrinkToFit="1"/>
    </xf>
    <xf numFmtId="49" fontId="20" fillId="0" borderId="59" xfId="0" applyNumberFormat="1" applyFont="1" applyBorder="1" applyAlignment="1" applyProtection="1">
      <alignment horizontal="left" vertical="center" wrapText="1" shrinkToFit="1"/>
    </xf>
    <xf numFmtId="9" fontId="20" fillId="0" borderId="35" xfId="0" applyNumberFormat="1" applyFont="1" applyBorder="1" applyAlignment="1" applyProtection="1">
      <alignment horizontal="center" vertical="center" wrapText="1" shrinkToFit="1"/>
    </xf>
    <xf numFmtId="0" fontId="20" fillId="0" borderId="35" xfId="0" applyFont="1" applyBorder="1" applyAlignment="1" applyProtection="1">
      <alignment horizontal="center" vertical="center" wrapText="1" shrinkToFit="1"/>
    </xf>
    <xf numFmtId="0" fontId="20" fillId="0" borderId="45" xfId="0" applyFont="1" applyBorder="1" applyAlignment="1" applyProtection="1">
      <alignment vertical="center" wrapText="1" shrinkToFit="1"/>
    </xf>
    <xf numFmtId="0" fontId="18" fillId="4" borderId="78" xfId="0" applyFont="1" applyFill="1" applyBorder="1" applyAlignment="1" applyProtection="1">
      <alignment vertical="center" wrapText="1"/>
      <protection locked="0"/>
    </xf>
    <xf numFmtId="3" fontId="22" fillId="4" borderId="58" xfId="0" applyNumberFormat="1" applyFont="1" applyFill="1" applyBorder="1" applyAlignment="1" applyProtection="1">
      <alignment vertical="center" wrapText="1"/>
      <protection locked="0"/>
    </xf>
    <xf numFmtId="3" fontId="22" fillId="4" borderId="72" xfId="0" applyNumberFormat="1" applyFont="1" applyFill="1" applyBorder="1" applyAlignment="1" applyProtection="1">
      <alignment vertical="center" wrapText="1"/>
      <protection locked="0"/>
    </xf>
    <xf numFmtId="3" fontId="22" fillId="4" borderId="62" xfId="0" applyNumberFormat="1" applyFont="1" applyFill="1" applyBorder="1" applyAlignment="1" applyProtection="1">
      <alignment vertical="center" wrapText="1"/>
      <protection locked="0"/>
    </xf>
    <xf numFmtId="3" fontId="18" fillId="4" borderId="75" xfId="0" applyNumberFormat="1" applyFont="1" applyFill="1" applyBorder="1" applyAlignment="1" applyProtection="1">
      <alignment vertical="center" wrapText="1"/>
      <protection locked="0"/>
    </xf>
    <xf numFmtId="0" fontId="49" fillId="0" borderId="30" xfId="0" applyFont="1" applyFill="1" applyBorder="1" applyAlignment="1">
      <alignment horizontal="left" vertical="center" wrapText="1"/>
    </xf>
    <xf numFmtId="0" fontId="22" fillId="0" borderId="64" xfId="0" applyFont="1" applyFill="1" applyBorder="1" applyAlignment="1" applyProtection="1">
      <alignment vertical="center" wrapText="1"/>
      <protection locked="0"/>
    </xf>
    <xf numFmtId="3" fontId="22" fillId="0" borderId="45" xfId="0" applyNumberFormat="1" applyFont="1" applyFill="1" applyBorder="1" applyAlignment="1" applyProtection="1">
      <alignment vertical="center" wrapText="1"/>
      <protection locked="0"/>
    </xf>
    <xf numFmtId="0" fontId="22" fillId="0" borderId="41" xfId="0" applyFont="1" applyFill="1" applyBorder="1" applyAlignment="1" applyProtection="1">
      <alignment vertical="center" wrapText="1"/>
      <protection locked="0"/>
    </xf>
    <xf numFmtId="3" fontId="22" fillId="0" borderId="41" xfId="0" applyNumberFormat="1" applyFont="1" applyFill="1" applyBorder="1" applyAlignment="1" applyProtection="1">
      <alignment vertical="center" wrapText="1"/>
      <protection locked="0"/>
    </xf>
    <xf numFmtId="3" fontId="22" fillId="0" borderId="64" xfId="0" applyNumberFormat="1" applyFont="1" applyFill="1" applyBorder="1" applyAlignment="1" applyProtection="1">
      <alignment vertical="center" wrapText="1"/>
      <protection locked="0"/>
    </xf>
    <xf numFmtId="49" fontId="22" fillId="0" borderId="34" xfId="0" applyNumberFormat="1" applyFont="1" applyFill="1" applyBorder="1" applyAlignment="1" applyProtection="1">
      <alignment vertical="center" wrapText="1"/>
      <protection locked="0"/>
    </xf>
    <xf numFmtId="0" fontId="22" fillId="0" borderId="68" xfId="0" applyFont="1" applyFill="1" applyBorder="1" applyAlignment="1" applyProtection="1">
      <alignment vertical="center" wrapText="1"/>
      <protection locked="0"/>
    </xf>
    <xf numFmtId="0" fontId="0" fillId="0" borderId="69" xfId="0" applyFill="1" applyBorder="1" applyAlignment="1">
      <alignment vertical="center" wrapText="1"/>
    </xf>
    <xf numFmtId="0" fontId="0" fillId="0" borderId="66" xfId="0" applyFill="1" applyBorder="1" applyAlignment="1">
      <alignment vertical="center" wrapText="1"/>
    </xf>
    <xf numFmtId="3" fontId="22" fillId="0" borderId="38" xfId="0" applyNumberFormat="1" applyFont="1" applyFill="1" applyBorder="1" applyAlignment="1" applyProtection="1">
      <alignment vertical="center" wrapText="1"/>
      <protection locked="0"/>
    </xf>
    <xf numFmtId="3" fontId="22" fillId="0" borderId="12" xfId="0" applyNumberFormat="1" applyFont="1" applyFill="1" applyBorder="1" applyAlignment="1" applyProtection="1">
      <alignment wrapText="1"/>
      <protection locked="0"/>
    </xf>
    <xf numFmtId="3" fontId="22" fillId="0" borderId="17" xfId="0" applyNumberFormat="1" applyFont="1" applyFill="1" applyBorder="1" applyAlignment="1" applyProtection="1">
      <alignment wrapText="1"/>
      <protection locked="0"/>
    </xf>
    <xf numFmtId="3" fontId="22" fillId="0" borderId="79" xfId="0" applyNumberFormat="1" applyFont="1" applyBorder="1" applyAlignment="1" applyProtection="1">
      <alignment vertical="center" wrapText="1"/>
      <protection locked="0"/>
    </xf>
    <xf numFmtId="3" fontId="22" fillId="0" borderId="60" xfId="0" applyNumberFormat="1" applyFont="1" applyBorder="1" applyAlignment="1" applyProtection="1">
      <alignment vertical="center" wrapText="1"/>
      <protection locked="0"/>
    </xf>
    <xf numFmtId="3" fontId="22" fillId="0" borderId="32" xfId="0" applyNumberFormat="1" applyFont="1" applyBorder="1" applyAlignment="1" applyProtection="1">
      <alignment vertical="center" wrapText="1"/>
      <protection locked="0"/>
    </xf>
    <xf numFmtId="3" fontId="22" fillId="0" borderId="25" xfId="0" applyNumberFormat="1" applyFont="1" applyBorder="1" applyAlignment="1" applyProtection="1">
      <alignment vertical="center" wrapText="1"/>
      <protection locked="0"/>
    </xf>
    <xf numFmtId="3" fontId="22" fillId="0" borderId="40" xfId="0" applyNumberFormat="1" applyFont="1" applyBorder="1" applyAlignment="1" applyProtection="1">
      <alignment vertical="center" wrapText="1"/>
      <protection locked="0"/>
    </xf>
    <xf numFmtId="0" fontId="26" fillId="0" borderId="0" xfId="0" applyFont="1" applyFill="1"/>
    <xf numFmtId="3" fontId="26" fillId="0" borderId="0" xfId="0" applyNumberFormat="1" applyFont="1"/>
    <xf numFmtId="49" fontId="24" fillId="0" borderId="44" xfId="0" applyNumberFormat="1" applyFont="1" applyBorder="1" applyAlignment="1" applyProtection="1">
      <alignment vertical="center" wrapText="1"/>
      <protection locked="0"/>
    </xf>
    <xf numFmtId="3" fontId="25" fillId="0" borderId="9" xfId="1" applyNumberFormat="1" applyFont="1" applyBorder="1">
      <protection locked="0"/>
    </xf>
    <xf numFmtId="0" fontId="22" fillId="0" borderId="66" xfId="0" applyFont="1" applyFill="1" applyBorder="1" applyAlignment="1" applyProtection="1">
      <alignment vertical="center" wrapText="1"/>
      <protection locked="0"/>
    </xf>
    <xf numFmtId="3" fontId="20" fillId="0" borderId="43" xfId="1" applyNumberFormat="1" applyFont="1" applyFill="1" applyBorder="1">
      <protection locked="0"/>
    </xf>
    <xf numFmtId="3" fontId="29" fillId="0" borderId="0" xfId="0" applyNumberFormat="1" applyFont="1" applyBorder="1"/>
    <xf numFmtId="0" fontId="24" fillId="0" borderId="30" xfId="0" applyFont="1" applyFill="1" applyBorder="1" applyAlignment="1" applyProtection="1">
      <alignment vertical="center" wrapText="1"/>
      <protection locked="0"/>
    </xf>
    <xf numFmtId="0" fontId="24" fillId="0" borderId="64" xfId="0" applyFont="1" applyFill="1" applyBorder="1" applyAlignment="1" applyProtection="1">
      <alignment vertical="center" wrapText="1"/>
      <protection locked="0"/>
    </xf>
    <xf numFmtId="3" fontId="24" fillId="0" borderId="12" xfId="0" applyNumberFormat="1" applyFont="1" applyFill="1" applyBorder="1" applyAlignment="1" applyProtection="1">
      <alignment wrapText="1"/>
      <protection locked="0"/>
    </xf>
    <xf numFmtId="3" fontId="18" fillId="0" borderId="12" xfId="0" applyNumberFormat="1" applyFont="1" applyFill="1" applyBorder="1" applyAlignment="1" applyProtection="1">
      <alignment wrapText="1"/>
      <protection locked="0"/>
    </xf>
    <xf numFmtId="3" fontId="17" fillId="9" borderId="53" xfId="2" applyNumberFormat="1" applyFont="1" applyFill="1" applyBorder="1" applyAlignment="1" applyProtection="1">
      <alignment horizontal="center"/>
    </xf>
    <xf numFmtId="3" fontId="30" fillId="0" borderId="0" xfId="0" applyNumberFormat="1" applyFont="1" applyBorder="1" applyAlignment="1" applyProtection="1">
      <alignment vertical="center" wrapText="1" shrinkToFit="1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8" fillId="6" borderId="37" xfId="0" applyFont="1" applyFill="1" applyBorder="1" applyAlignment="1" applyProtection="1">
      <alignment horizontal="center" vertical="center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3" fontId="15" fillId="6" borderId="2" xfId="0" applyNumberFormat="1" applyFont="1" applyFill="1" applyBorder="1" applyAlignment="1">
      <alignment vertical="center"/>
    </xf>
    <xf numFmtId="168" fontId="7" fillId="0" borderId="0" xfId="2" applyNumberFormat="1" applyFont="1" applyBorder="1" applyAlignment="1" applyProtection="1"/>
    <xf numFmtId="0" fontId="8" fillId="6" borderId="37" xfId="0" applyFont="1" applyFill="1" applyBorder="1" applyAlignment="1" applyProtection="1">
      <alignment horizontal="center" vertical="center" wrapText="1" shrinkToFit="1"/>
    </xf>
    <xf numFmtId="0" fontId="22" fillId="0" borderId="29" xfId="0" applyFont="1" applyBorder="1" applyAlignment="1" applyProtection="1">
      <alignment vertical="center" wrapText="1"/>
      <protection locked="0"/>
    </xf>
    <xf numFmtId="0" fontId="17" fillId="9" borderId="47" xfId="0" applyFont="1" applyFill="1" applyBorder="1" applyAlignment="1">
      <alignment horizontal="left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1" fillId="4" borderId="4" xfId="0" applyNumberFormat="1" applyFont="1" applyFill="1" applyBorder="1"/>
    <xf numFmtId="165" fontId="2" fillId="0" borderId="39" xfId="0" applyNumberFormat="1" applyFont="1" applyFill="1" applyBorder="1" applyAlignment="1"/>
    <xf numFmtId="165" fontId="2" fillId="0" borderId="2" xfId="0" applyNumberFormat="1" applyFont="1" applyFill="1" applyBorder="1"/>
    <xf numFmtId="165" fontId="2" fillId="0" borderId="2" xfId="0" applyNumberFormat="1" applyFont="1" applyFill="1" applyBorder="1" applyAlignment="1"/>
    <xf numFmtId="3" fontId="9" fillId="0" borderId="45" xfId="0" applyNumberFormat="1" applyFont="1" applyBorder="1" applyAlignment="1" applyProtection="1">
      <alignment horizontal="right" vertical="center" wrapText="1" shrinkToFit="1"/>
    </xf>
    <xf numFmtId="3" fontId="9" fillId="0" borderId="30" xfId="0" applyNumberFormat="1" applyFont="1" applyBorder="1" applyAlignment="1" applyProtection="1">
      <alignment horizontal="right" vertical="center" wrapText="1" shrinkToFit="1"/>
    </xf>
    <xf numFmtId="3" fontId="9" fillId="0" borderId="35" xfId="0" applyNumberFormat="1" applyFont="1" applyBorder="1" applyAlignment="1" applyProtection="1">
      <alignment horizontal="right" vertical="center" wrapText="1" shrinkToFit="1"/>
    </xf>
    <xf numFmtId="3" fontId="10" fillId="5" borderId="49" xfId="0" applyNumberFormat="1" applyFont="1" applyFill="1" applyBorder="1" applyAlignment="1" applyProtection="1">
      <alignment horizontal="right" vertical="center" wrapText="1" shrinkToFit="1"/>
    </xf>
    <xf numFmtId="3" fontId="12" fillId="5" borderId="49" xfId="0" applyNumberFormat="1" applyFont="1" applyFill="1" applyBorder="1" applyAlignment="1" applyProtection="1">
      <alignment horizontal="right" vertical="center" wrapText="1" shrinkToFit="1"/>
    </xf>
    <xf numFmtId="3" fontId="12" fillId="5" borderId="5" xfId="0" applyNumberFormat="1" applyFont="1" applyFill="1" applyBorder="1" applyAlignment="1" applyProtection="1">
      <alignment horizontal="right" vertical="center" wrapText="1" shrinkToFit="1"/>
    </xf>
    <xf numFmtId="3" fontId="17" fillId="6" borderId="74" xfId="0" applyNumberFormat="1" applyFont="1" applyFill="1" applyBorder="1" applyAlignment="1">
      <alignment horizontal="right" vertical="center"/>
    </xf>
    <xf numFmtId="3" fontId="15" fillId="6" borderId="57" xfId="0" applyNumberFormat="1" applyFont="1" applyFill="1" applyBorder="1" applyAlignment="1">
      <alignment horizontal="center" vertical="center"/>
    </xf>
    <xf numFmtId="0" fontId="22" fillId="0" borderId="30" xfId="0" applyFont="1" applyBorder="1" applyAlignment="1" applyProtection="1">
      <alignment horizontal="right" vertical="center" wrapText="1"/>
      <protection locked="0"/>
    </xf>
    <xf numFmtId="3" fontId="20" fillId="0" borderId="45" xfId="0" applyNumberFormat="1" applyFont="1" applyBorder="1" applyAlignment="1" applyProtection="1">
      <alignment horizontal="right" vertical="center" wrapText="1" shrinkToFit="1"/>
    </xf>
    <xf numFmtId="3" fontId="22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2" fillId="0" borderId="64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64" xfId="0" applyNumberFormat="1" applyFont="1" applyFill="1" applyBorder="1" applyAlignment="1" applyProtection="1">
      <alignment horizontal="right" vertical="center" wrapText="1"/>
      <protection locked="0"/>
    </xf>
    <xf numFmtId="3" fontId="22" fillId="0" borderId="35" xfId="0" applyNumberFormat="1" applyFont="1" applyFill="1" applyBorder="1" applyAlignment="1" applyProtection="1">
      <alignment horizontal="right" vertical="center" wrapText="1"/>
      <protection locked="0"/>
    </xf>
    <xf numFmtId="3" fontId="22" fillId="0" borderId="26" xfId="0" applyNumberFormat="1" applyFont="1" applyBorder="1" applyAlignment="1" applyProtection="1">
      <alignment horizontal="center" vertical="center" wrapText="1"/>
      <protection locked="0"/>
    </xf>
    <xf numFmtId="3" fontId="24" fillId="0" borderId="30" xfId="0" applyNumberFormat="1" applyFont="1" applyBorder="1" applyAlignment="1" applyProtection="1">
      <alignment horizontal="right" wrapText="1"/>
      <protection locked="0"/>
    </xf>
    <xf numFmtId="3" fontId="22" fillId="0" borderId="30" xfId="0" applyNumberFormat="1" applyFont="1" applyBorder="1" applyAlignment="1" applyProtection="1">
      <alignment horizontal="right" wrapText="1"/>
      <protection locked="0"/>
    </xf>
    <xf numFmtId="3" fontId="22" fillId="0" borderId="35" xfId="0" applyNumberFormat="1" applyFont="1" applyBorder="1" applyAlignment="1" applyProtection="1">
      <alignment horizontal="right" wrapText="1"/>
      <protection locked="0"/>
    </xf>
    <xf numFmtId="3" fontId="22" fillId="0" borderId="66" xfId="0" applyNumberFormat="1" applyFont="1" applyFill="1" applyBorder="1" applyAlignment="1" applyProtection="1">
      <alignment horizontal="right" wrapText="1"/>
      <protection locked="0"/>
    </xf>
    <xf numFmtId="3" fontId="22" fillId="0" borderId="35" xfId="0" applyNumberFormat="1" applyFont="1" applyBorder="1" applyAlignment="1" applyProtection="1">
      <alignment horizontal="right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wrapText="1"/>
      <protection locked="0"/>
    </xf>
    <xf numFmtId="3" fontId="10" fillId="10" borderId="49" xfId="0" applyNumberFormat="1" applyFont="1" applyFill="1" applyBorder="1" applyAlignment="1" applyProtection="1">
      <alignment horizontal="right" vertical="center" wrapText="1" shrinkToFit="1"/>
    </xf>
    <xf numFmtId="3" fontId="32" fillId="0" borderId="30" xfId="0" applyNumberFormat="1" applyFont="1" applyBorder="1" applyAlignment="1" applyProtection="1">
      <alignment horizontal="right" vertical="center" wrapText="1" shrinkToFit="1"/>
    </xf>
    <xf numFmtId="3" fontId="10" fillId="10" borderId="3" xfId="0" applyNumberFormat="1" applyFont="1" applyFill="1" applyBorder="1" applyAlignment="1" applyProtection="1">
      <alignment horizontal="right" vertical="center" wrapText="1" shrinkToFit="1"/>
    </xf>
    <xf numFmtId="3" fontId="11" fillId="0" borderId="72" xfId="0" applyNumberFormat="1" applyFont="1" applyBorder="1" applyAlignment="1" applyProtection="1">
      <alignment horizontal="right" vertical="center" wrapText="1" shrinkToFit="1"/>
    </xf>
    <xf numFmtId="3" fontId="10" fillId="10" borderId="49" xfId="0" applyNumberFormat="1" applyFont="1" applyFill="1" applyBorder="1" applyAlignment="1">
      <alignment horizontal="right"/>
    </xf>
    <xf numFmtId="3" fontId="10" fillId="10" borderId="67" xfId="0" applyNumberFormat="1" applyFont="1" applyFill="1" applyBorder="1" applyAlignment="1" applyProtection="1">
      <alignment horizontal="right" vertical="center" wrapText="1" shrinkToFit="1"/>
    </xf>
    <xf numFmtId="3" fontId="22" fillId="0" borderId="67" xfId="0" applyNumberFormat="1" applyFont="1" applyBorder="1" applyAlignment="1" applyProtection="1">
      <alignment vertical="center" wrapText="1"/>
      <protection locked="0"/>
    </xf>
    <xf numFmtId="3" fontId="18" fillId="11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52" xfId="0" applyFont="1" applyFill="1" applyBorder="1" applyAlignment="1" applyProtection="1">
      <alignment vertical="center" wrapText="1"/>
      <protection locked="0"/>
    </xf>
    <xf numFmtId="3" fontId="18" fillId="0" borderId="70" xfId="0" applyNumberFormat="1" applyFont="1" applyFill="1" applyBorder="1" applyAlignment="1" applyProtection="1">
      <alignment vertical="center" wrapText="1"/>
      <protection locked="0"/>
    </xf>
    <xf numFmtId="3" fontId="38" fillId="0" borderId="28" xfId="2" applyNumberFormat="1" applyFont="1" applyBorder="1" applyAlignment="1" applyProtection="1"/>
    <xf numFmtId="49" fontId="22" fillId="0" borderId="68" xfId="0" applyNumberFormat="1" applyFont="1" applyBorder="1" applyAlignment="1" applyProtection="1">
      <alignment horizontal="left" vertical="center" wrapText="1"/>
      <protection locked="0"/>
    </xf>
    <xf numFmtId="0" fontId="20" fillId="0" borderId="45" xfId="0" applyFont="1" applyFill="1" applyBorder="1" applyAlignment="1" applyProtection="1">
      <alignment horizontal="left" vertical="center" wrapText="1" shrinkToFit="1"/>
    </xf>
    <xf numFmtId="3" fontId="21" fillId="0" borderId="28" xfId="0" applyNumberFormat="1" applyFont="1" applyFill="1" applyBorder="1" applyAlignment="1" applyProtection="1">
      <alignment horizontal="right" vertical="center" wrapText="1" shrinkToFit="1"/>
    </xf>
    <xf numFmtId="0" fontId="50" fillId="0" borderId="0" xfId="0" applyFont="1" applyFill="1"/>
    <xf numFmtId="0" fontId="22" fillId="0" borderId="79" xfId="0" applyFont="1" applyBorder="1" applyAlignment="1" applyProtection="1">
      <alignment vertical="center" wrapText="1"/>
      <protection locked="0"/>
    </xf>
    <xf numFmtId="3" fontId="20" fillId="2" borderId="41" xfId="0" applyNumberFormat="1" applyFont="1" applyFill="1" applyBorder="1" applyAlignment="1" applyProtection="1">
      <alignment horizontal="center" vertical="center" wrapText="1" shrinkToFit="1"/>
    </xf>
    <xf numFmtId="3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58" xfId="0" applyFont="1" applyFill="1" applyBorder="1" applyAlignment="1" applyProtection="1">
      <alignment horizontal="center" vertical="center" wrapText="1" shrinkToFit="1"/>
    </xf>
    <xf numFmtId="0" fontId="20" fillId="0" borderId="61" xfId="0" applyFont="1" applyFill="1" applyBorder="1" applyAlignment="1" applyProtection="1">
      <alignment horizontal="center" vertical="center" wrapText="1" shrinkToFit="1"/>
    </xf>
    <xf numFmtId="3" fontId="20" fillId="0" borderId="40" xfId="0" applyNumberFormat="1" applyFont="1" applyFill="1" applyBorder="1" applyAlignment="1" applyProtection="1">
      <alignment horizontal="right" vertical="center" wrapText="1" shrinkToFit="1"/>
    </xf>
    <xf numFmtId="3" fontId="20" fillId="0" borderId="32" xfId="0" applyNumberFormat="1" applyFont="1" applyFill="1" applyBorder="1" applyAlignment="1" applyProtection="1">
      <alignment horizontal="right" vertical="center" wrapText="1" shrinkToFit="1"/>
    </xf>
    <xf numFmtId="0" fontId="20" fillId="0" borderId="25" xfId="0" applyFont="1" applyFill="1" applyBorder="1" applyAlignment="1" applyProtection="1">
      <alignment horizontal="left" vertical="center" wrapText="1" shrinkToFit="1"/>
    </xf>
    <xf numFmtId="0" fontId="20" fillId="0" borderId="60" xfId="0" applyFont="1" applyFill="1" applyBorder="1" applyAlignment="1" applyProtection="1">
      <alignment horizontal="left" vertical="center" wrapText="1" shrinkToFit="1"/>
    </xf>
    <xf numFmtId="49" fontId="20" fillId="0" borderId="24" xfId="0" applyNumberFormat="1" applyFont="1" applyFill="1" applyBorder="1" applyAlignment="1" applyProtection="1">
      <alignment horizontal="left" vertical="center" wrapText="1" shrinkToFit="1"/>
    </xf>
    <xf numFmtId="49" fontId="20" fillId="0" borderId="59" xfId="0" applyNumberFormat="1" applyFont="1" applyFill="1" applyBorder="1" applyAlignment="1" applyProtection="1">
      <alignment horizontal="left" vertical="center" wrapText="1" shrinkToFit="1"/>
    </xf>
    <xf numFmtId="3" fontId="22" fillId="0" borderId="50" xfId="0" applyNumberFormat="1" applyFont="1" applyBorder="1" applyAlignment="1" applyProtection="1">
      <alignment horizontal="center" vertical="center" wrapText="1"/>
      <protection locked="0"/>
    </xf>
    <xf numFmtId="3" fontId="18" fillId="11" borderId="53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3" fontId="50" fillId="0" borderId="31" xfId="0" applyNumberFormat="1" applyFont="1" applyFill="1" applyBorder="1" applyAlignment="1" applyProtection="1">
      <alignment vertical="center" wrapText="1"/>
      <protection locked="0"/>
    </xf>
    <xf numFmtId="3" fontId="50" fillId="0" borderId="0" xfId="0" applyNumberFormat="1" applyFont="1" applyFill="1" applyBorder="1" applyAlignment="1" applyProtection="1">
      <alignment vertical="center" wrapText="1"/>
      <protection locked="0"/>
    </xf>
    <xf numFmtId="0" fontId="51" fillId="0" borderId="0" xfId="0" applyFont="1" applyAlignment="1"/>
    <xf numFmtId="0" fontId="8" fillId="6" borderId="39" xfId="0" applyFont="1" applyFill="1" applyBorder="1" applyAlignment="1" applyProtection="1">
      <alignment horizontal="center" vertical="center" wrapText="1" shrinkToFit="1"/>
    </xf>
    <xf numFmtId="0" fontId="8" fillId="6" borderId="12" xfId="0" applyFont="1" applyFill="1" applyBorder="1" applyAlignment="1" applyProtection="1">
      <alignment horizontal="center" vertical="center" wrapText="1" shrinkToFit="1"/>
    </xf>
    <xf numFmtId="0" fontId="21" fillId="6" borderId="55" xfId="0" applyFont="1" applyFill="1" applyBorder="1" applyAlignment="1" applyProtection="1">
      <alignment horizontal="center" vertical="center" wrapText="1" shrinkToFit="1"/>
    </xf>
    <xf numFmtId="0" fontId="21" fillId="6" borderId="26" xfId="0" applyFont="1" applyFill="1" applyBorder="1" applyAlignment="1" applyProtection="1">
      <alignment horizontal="center" vertical="center" wrapText="1" shrinkToFit="1"/>
    </xf>
    <xf numFmtId="3" fontId="22" fillId="0" borderId="46" xfId="0" applyNumberFormat="1" applyFont="1" applyBorder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22" fillId="0" borderId="15" xfId="0" applyFont="1" applyFill="1" applyBorder="1" applyAlignment="1" applyProtection="1">
      <alignment vertical="center" wrapText="1"/>
      <protection locked="0"/>
    </xf>
    <xf numFmtId="0" fontId="52" fillId="0" borderId="0" xfId="0" applyFont="1"/>
    <xf numFmtId="3" fontId="22" fillId="0" borderId="80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3" fontId="7" fillId="17" borderId="0" xfId="0" applyNumberFormat="1" applyFont="1" applyFill="1"/>
    <xf numFmtId="49" fontId="0" fillId="0" borderId="59" xfId="0" applyNumberFormat="1" applyBorder="1" applyAlignment="1">
      <alignment vertical="center" wrapText="1"/>
    </xf>
    <xf numFmtId="3" fontId="22" fillId="0" borderId="28" xfId="0" applyNumberFormat="1" applyFont="1" applyFill="1" applyBorder="1" applyAlignment="1" applyProtection="1">
      <alignment vertical="center" wrapText="1"/>
      <protection locked="0"/>
    </xf>
    <xf numFmtId="10" fontId="20" fillId="0" borderId="60" xfId="0" applyNumberFormat="1" applyFont="1" applyFill="1" applyBorder="1" applyAlignment="1" applyProtection="1">
      <alignment horizontal="center" vertical="center" wrapText="1" shrinkToFit="1"/>
    </xf>
    <xf numFmtId="0" fontId="0" fillId="17" borderId="0" xfId="0" applyFill="1" applyBorder="1"/>
    <xf numFmtId="173" fontId="7" fillId="17" borderId="0" xfId="0" applyNumberFormat="1" applyFont="1" applyFill="1" applyBorder="1"/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24" xfId="0" applyBorder="1"/>
    <xf numFmtId="3" fontId="0" fillId="0" borderId="26" xfId="0" applyNumberFormat="1" applyBorder="1"/>
    <xf numFmtId="0" fontId="0" fillId="0" borderId="29" xfId="0" applyBorder="1"/>
    <xf numFmtId="3" fontId="0" fillId="0" borderId="14" xfId="0" applyNumberFormat="1" applyBorder="1"/>
    <xf numFmtId="0" fontId="17" fillId="21" borderId="47" xfId="0" applyFont="1" applyFill="1" applyBorder="1"/>
    <xf numFmtId="3" fontId="17" fillId="21" borderId="8" xfId="0" applyNumberFormat="1" applyFont="1" applyFill="1" applyBorder="1"/>
    <xf numFmtId="49" fontId="54" fillId="0" borderId="44" xfId="0" applyNumberFormat="1" applyFont="1" applyBorder="1"/>
    <xf numFmtId="49" fontId="55" fillId="0" borderId="45" xfId="0" applyNumberFormat="1" applyFont="1" applyBorder="1" applyAlignment="1">
      <alignment wrapText="1"/>
    </xf>
    <xf numFmtId="49" fontId="54" fillId="0" borderId="29" xfId="0" applyNumberFormat="1" applyFont="1" applyBorder="1"/>
    <xf numFmtId="49" fontId="55" fillId="0" borderId="30" xfId="0" applyNumberFormat="1" applyFont="1" applyBorder="1" applyAlignment="1">
      <alignment wrapText="1"/>
    </xf>
    <xf numFmtId="49" fontId="54" fillId="0" borderId="34" xfId="0" applyNumberFormat="1" applyFont="1" applyBorder="1"/>
    <xf numFmtId="3" fontId="53" fillId="16" borderId="2" xfId="0" applyNumberFormat="1" applyFont="1" applyFill="1" applyBorder="1"/>
    <xf numFmtId="0" fontId="0" fillId="0" borderId="59" xfId="0" applyBorder="1"/>
    <xf numFmtId="3" fontId="0" fillId="0" borderId="33" xfId="0" applyNumberFormat="1" applyBorder="1"/>
    <xf numFmtId="49" fontId="20" fillId="0" borderId="34" xfId="0" applyNumberFormat="1" applyFont="1" applyFill="1" applyBorder="1" applyAlignment="1" applyProtection="1">
      <alignment horizontal="left" vertical="center" wrapText="1" shrinkToFit="1"/>
    </xf>
    <xf numFmtId="0" fontId="22" fillId="0" borderId="37" xfId="0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 applyProtection="1">
      <alignment vertical="center" wrapText="1"/>
      <protection locked="0"/>
    </xf>
    <xf numFmtId="9" fontId="22" fillId="0" borderId="37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Fill="1" applyBorder="1" applyAlignment="1" applyProtection="1">
      <alignment vertical="center" wrapText="1"/>
      <protection locked="0"/>
    </xf>
    <xf numFmtId="168" fontId="16" fillId="0" borderId="0" xfId="2" applyNumberFormat="1" applyBorder="1" applyAlignment="1" applyProtection="1"/>
    <xf numFmtId="0" fontId="6" fillId="0" borderId="0" xfId="0" applyFont="1" applyBorder="1" applyAlignment="1">
      <alignment horizontal="center"/>
    </xf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11" fillId="0" borderId="59" xfId="0" applyNumberFormat="1" applyFont="1" applyBorder="1" applyAlignment="1" applyProtection="1">
      <alignment horizontal="left" vertical="center" wrapText="1" shrinkToFit="1"/>
    </xf>
    <xf numFmtId="49" fontId="11" fillId="0" borderId="60" xfId="0" applyNumberFormat="1" applyFont="1" applyBorder="1" applyAlignment="1" applyProtection="1">
      <alignment horizontal="left" vertical="center" wrapText="1" shrinkToFit="1"/>
    </xf>
    <xf numFmtId="3" fontId="11" fillId="0" borderId="60" xfId="0" applyNumberFormat="1" applyFont="1" applyBorder="1" applyAlignment="1" applyProtection="1">
      <alignment horizontal="right" vertical="center" wrapText="1" shrinkToFit="1"/>
    </xf>
    <xf numFmtId="3" fontId="11" fillId="0" borderId="60" xfId="0" applyNumberFormat="1" applyFont="1" applyBorder="1" applyAlignment="1" applyProtection="1">
      <alignment vertical="center" wrapText="1" shrinkToFit="1"/>
    </xf>
    <xf numFmtId="3" fontId="11" fillId="0" borderId="60" xfId="0" applyNumberFormat="1" applyFont="1" applyBorder="1" applyAlignment="1" applyProtection="1">
      <alignment horizontal="center" vertical="center" wrapText="1" shrinkToFit="1"/>
    </xf>
    <xf numFmtId="3" fontId="11" fillId="0" borderId="32" xfId="0" applyNumberFormat="1" applyFont="1" applyBorder="1" applyAlignment="1" applyProtection="1">
      <alignment vertical="center" wrapText="1" shrinkToFit="1"/>
    </xf>
    <xf numFmtId="49" fontId="11" fillId="0" borderId="44" xfId="0" applyNumberFormat="1" applyFont="1" applyBorder="1" applyAlignment="1" applyProtection="1">
      <alignment horizontal="left" vertical="center" wrapText="1" shrinkToFit="1"/>
    </xf>
    <xf numFmtId="3" fontId="11" fillId="0" borderId="45" xfId="0" applyNumberFormat="1" applyFont="1" applyBorder="1" applyAlignment="1" applyProtection="1">
      <alignment horizontal="right" vertical="center" wrapText="1" shrinkToFit="1"/>
    </xf>
    <xf numFmtId="3" fontId="11" fillId="0" borderId="9" xfId="0" applyNumberFormat="1" applyFont="1" applyBorder="1" applyAlignment="1" applyProtection="1">
      <alignment vertical="center" wrapText="1" shrinkToFit="1"/>
    </xf>
    <xf numFmtId="165" fontId="40" fillId="0" borderId="30" xfId="1" applyNumberFormat="1" applyBorder="1">
      <protection locked="0"/>
    </xf>
    <xf numFmtId="0" fontId="17" fillId="13" borderId="24" xfId="0" applyFont="1" applyFill="1" applyBorder="1" applyAlignment="1">
      <alignment horizontal="center" vertical="center" readingOrder="1"/>
    </xf>
    <xf numFmtId="0" fontId="17" fillId="13" borderId="26" xfId="0" applyFont="1" applyFill="1" applyBorder="1" applyAlignment="1">
      <alignment horizontal="center" vertical="center" readingOrder="1"/>
    </xf>
    <xf numFmtId="165" fontId="40" fillId="0" borderId="35" xfId="1" applyNumberFormat="1" applyBorder="1">
      <protection locked="0"/>
    </xf>
    <xf numFmtId="165" fontId="17" fillId="14" borderId="47" xfId="1" applyNumberFormat="1" applyFont="1" applyFill="1" applyBorder="1" applyAlignment="1">
      <alignment horizontal="right" readingOrder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3" fontId="22" fillId="22" borderId="30" xfId="0" applyNumberFormat="1" applyFont="1" applyFill="1" applyBorder="1" applyAlignment="1" applyProtection="1">
      <alignment vertical="center" wrapText="1"/>
      <protection locked="0"/>
    </xf>
    <xf numFmtId="3" fontId="22" fillId="22" borderId="45" xfId="0" applyNumberFormat="1" applyFont="1" applyFill="1" applyBorder="1" applyAlignment="1" applyProtection="1">
      <alignment horizontal="center" vertical="center" wrapText="1"/>
      <protection locked="0"/>
    </xf>
    <xf numFmtId="3" fontId="22" fillId="22" borderId="12" xfId="0" applyNumberFormat="1" applyFont="1" applyFill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45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0" fontId="22" fillId="0" borderId="67" xfId="0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0" fillId="0" borderId="60" xfId="0" applyNumberFormat="1" applyFont="1" applyFill="1" applyBorder="1" applyAlignment="1" applyProtection="1">
      <alignment horizontal="center" vertical="center" wrapText="1" shrinkToFit="1"/>
    </xf>
    <xf numFmtId="49" fontId="20" fillId="0" borderId="29" xfId="0" applyNumberFormat="1" applyFont="1" applyFill="1" applyBorder="1" applyAlignment="1" applyProtection="1">
      <alignment horizontal="left" vertical="center" wrapText="1" shrinkToFit="1"/>
    </xf>
    <xf numFmtId="0" fontId="20" fillId="0" borderId="30" xfId="0" applyFont="1" applyFill="1" applyBorder="1" applyAlignment="1" applyProtection="1">
      <alignment horizontal="left" vertical="center" wrapText="1" shrinkToFit="1"/>
    </xf>
    <xf numFmtId="0" fontId="20" fillId="0" borderId="30" xfId="0" applyFont="1" applyFill="1" applyBorder="1" applyAlignment="1" applyProtection="1">
      <alignment horizontal="center" vertical="center" wrapText="1" shrinkToFit="1"/>
    </xf>
    <xf numFmtId="3" fontId="20" fillId="0" borderId="30" xfId="0" applyNumberFormat="1" applyFont="1" applyFill="1" applyBorder="1" applyAlignment="1" applyProtection="1">
      <alignment horizontal="center" vertical="center" wrapText="1" shrinkToFit="1"/>
    </xf>
    <xf numFmtId="9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vertical="center" wrapText="1"/>
      <protection locked="0"/>
    </xf>
    <xf numFmtId="3" fontId="22" fillId="0" borderId="0" xfId="0" applyNumberFormat="1" applyFont="1" applyBorder="1" applyAlignment="1" applyProtection="1">
      <alignment horizontal="center" vertical="center" wrapText="1"/>
      <protection locked="0"/>
    </xf>
    <xf numFmtId="9" fontId="57" fillId="0" borderId="0" xfId="0" applyNumberFormat="1" applyFont="1"/>
    <xf numFmtId="9" fontId="58" fillId="0" borderId="0" xfId="0" applyNumberFormat="1" applyFont="1"/>
    <xf numFmtId="9" fontId="58" fillId="2" borderId="0" xfId="0" applyNumberFormat="1" applyFont="1" applyFill="1"/>
    <xf numFmtId="9" fontId="59" fillId="0" borderId="0" xfId="0" applyNumberFormat="1" applyFont="1"/>
    <xf numFmtId="9" fontId="60" fillId="0" borderId="0" xfId="0" applyNumberFormat="1" applyFont="1"/>
    <xf numFmtId="9" fontId="61" fillId="0" borderId="0" xfId="0" applyNumberFormat="1" applyFont="1" applyBorder="1" applyAlignment="1" applyProtection="1">
      <alignment vertical="center" wrapText="1"/>
      <protection locked="0"/>
    </xf>
    <xf numFmtId="9" fontId="61" fillId="0" borderId="0" xfId="0" applyNumberFormat="1" applyFont="1" applyFill="1" applyBorder="1" applyAlignment="1" applyProtection="1">
      <alignment vertical="center" wrapText="1"/>
      <protection locked="0"/>
    </xf>
    <xf numFmtId="9" fontId="62" fillId="0" borderId="0" xfId="0" applyNumberFormat="1" applyFont="1"/>
    <xf numFmtId="9" fontId="57" fillId="2" borderId="0" xfId="0" applyNumberFormat="1" applyFont="1" applyFill="1"/>
    <xf numFmtId="9" fontId="57" fillId="17" borderId="0" xfId="0" applyNumberFormat="1" applyFont="1" applyFill="1"/>
    <xf numFmtId="9" fontId="63" fillId="0" borderId="0" xfId="0" applyNumberFormat="1" applyFont="1" applyFill="1" applyBorder="1" applyAlignment="1" applyProtection="1">
      <alignment vertical="center" wrapText="1"/>
      <protection locked="0"/>
    </xf>
    <xf numFmtId="9" fontId="57" fillId="0" borderId="0" xfId="0" applyNumberFormat="1" applyFont="1" applyBorder="1"/>
    <xf numFmtId="9" fontId="62" fillId="18" borderId="0" xfId="0" applyNumberFormat="1" applyFont="1" applyFill="1"/>
    <xf numFmtId="9" fontId="59" fillId="0" borderId="0" xfId="0" applyNumberFormat="1" applyFont="1" applyBorder="1"/>
    <xf numFmtId="9" fontId="59" fillId="2" borderId="0" xfId="0" applyNumberFormat="1" applyFont="1" applyFill="1"/>
    <xf numFmtId="9" fontId="62" fillId="16" borderId="0" xfId="0" applyNumberFormat="1" applyFont="1" applyFill="1"/>
    <xf numFmtId="9" fontId="64" fillId="0" borderId="0" xfId="0" applyNumberFormat="1" applyFont="1"/>
    <xf numFmtId="9" fontId="65" fillId="0" borderId="0" xfId="0" applyNumberFormat="1" applyFont="1"/>
    <xf numFmtId="9" fontId="66" fillId="0" borderId="0" xfId="0" applyNumberFormat="1" applyFont="1"/>
    <xf numFmtId="9" fontId="67" fillId="0" borderId="0" xfId="0" applyNumberFormat="1" applyFont="1"/>
    <xf numFmtId="9" fontId="0" fillId="0" borderId="0" xfId="0" applyNumberFormat="1"/>
    <xf numFmtId="9" fontId="0" fillId="2" borderId="0" xfId="0" applyNumberFormat="1" applyFill="1"/>
    <xf numFmtId="9" fontId="0" fillId="17" borderId="0" xfId="0" applyNumberFormat="1" applyFill="1"/>
    <xf numFmtId="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9" fontId="50" fillId="0" borderId="0" xfId="0" applyNumberFormat="1" applyFont="1" applyFill="1" applyBorder="1" applyAlignment="1" applyProtection="1">
      <alignment vertical="center" wrapText="1"/>
      <protection locked="0"/>
    </xf>
    <xf numFmtId="9" fontId="0" fillId="0" borderId="0" xfId="0" applyNumberFormat="1" applyBorder="1"/>
    <xf numFmtId="9" fontId="7" fillId="16" borderId="0" xfId="0" applyNumberFormat="1" applyFont="1" applyFill="1"/>
    <xf numFmtId="9" fontId="0" fillId="0" borderId="0" xfId="0" applyNumberFormat="1" applyFont="1"/>
    <xf numFmtId="9" fontId="0" fillId="17" borderId="0" xfId="0" applyNumberFormat="1" applyFill="1" applyBorder="1"/>
    <xf numFmtId="9" fontId="39" fillId="0" borderId="0" xfId="0" applyNumberFormat="1" applyFont="1"/>
    <xf numFmtId="9" fontId="26" fillId="0" borderId="0" xfId="0" applyNumberFormat="1" applyFont="1"/>
    <xf numFmtId="0" fontId="22" fillId="0" borderId="0" xfId="0" applyNumberFormat="1" applyFont="1" applyBorder="1" applyAlignment="1" applyProtection="1">
      <alignment horizontal="center" vertical="center" wrapText="1"/>
      <protection locked="0"/>
    </xf>
    <xf numFmtId="172" fontId="22" fillId="0" borderId="30" xfId="0" applyNumberFormat="1" applyFont="1" applyBorder="1" applyAlignment="1" applyProtection="1">
      <alignment vertical="center" wrapText="1"/>
      <protection locked="0"/>
    </xf>
    <xf numFmtId="3" fontId="68" fillId="0" borderId="0" xfId="0" applyNumberFormat="1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wrapText="1"/>
    </xf>
    <xf numFmtId="3" fontId="14" fillId="0" borderId="0" xfId="0" applyNumberFormat="1" applyFont="1" applyBorder="1" applyAlignment="1">
      <alignment horizontal="right"/>
    </xf>
    <xf numFmtId="0" fontId="69" fillId="0" borderId="0" xfId="0" applyFont="1" applyBorder="1" applyAlignment="1">
      <alignment wrapText="1"/>
    </xf>
    <xf numFmtId="3" fontId="69" fillId="0" borderId="0" xfId="0" applyNumberFormat="1" applyFont="1" applyBorder="1" applyAlignment="1">
      <alignment horizontal="right"/>
    </xf>
    <xf numFmtId="0" fontId="69" fillId="0" borderId="0" xfId="0" applyFont="1" applyBorder="1"/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0" fontId="22" fillId="0" borderId="41" xfId="0" applyFont="1" applyFill="1" applyBorder="1" applyAlignment="1" applyProtection="1">
      <alignment vertical="center" wrapText="1"/>
      <protection locked="0"/>
    </xf>
    <xf numFmtId="174" fontId="70" fillId="0" borderId="0" xfId="0" applyNumberFormat="1" applyFont="1"/>
    <xf numFmtId="9" fontId="71" fillId="18" borderId="0" xfId="0" applyNumberFormat="1" applyFont="1" applyFill="1"/>
    <xf numFmtId="9" fontId="70" fillId="0" borderId="0" xfId="0" applyNumberFormat="1" applyFont="1"/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9" fontId="22" fillId="0" borderId="64" xfId="0" applyNumberFormat="1" applyFont="1" applyFill="1" applyBorder="1" applyAlignment="1" applyProtection="1">
      <alignment horizontal="center" vertical="center" wrapText="1"/>
      <protection locked="0"/>
    </xf>
    <xf numFmtId="3" fontId="22" fillId="2" borderId="0" xfId="0" applyNumberFormat="1" applyFont="1" applyFill="1" applyBorder="1" applyAlignment="1" applyProtection="1">
      <alignment vertical="center" wrapText="1"/>
      <protection locked="0"/>
    </xf>
    <xf numFmtId="49" fontId="22" fillId="23" borderId="44" xfId="0" applyNumberFormat="1" applyFont="1" applyFill="1" applyBorder="1" applyAlignment="1" applyProtection="1">
      <alignment vertical="center" wrapText="1"/>
      <protection locked="0"/>
    </xf>
    <xf numFmtId="0" fontId="22" fillId="23" borderId="45" xfId="0" applyFont="1" applyFill="1" applyBorder="1" applyAlignment="1" applyProtection="1">
      <alignment vertical="center" wrapText="1"/>
      <protection locked="0"/>
    </xf>
    <xf numFmtId="3" fontId="22" fillId="23" borderId="45" xfId="0" applyNumberFormat="1" applyFont="1" applyFill="1" applyBorder="1" applyAlignment="1" applyProtection="1">
      <alignment vertical="center" wrapText="1"/>
      <protection locked="0"/>
    </xf>
    <xf numFmtId="9" fontId="22" fillId="23" borderId="45" xfId="0" applyNumberFormat="1" applyFont="1" applyFill="1" applyBorder="1" applyAlignment="1" applyProtection="1">
      <alignment horizontal="center" vertical="center" wrapText="1"/>
      <protection locked="0"/>
    </xf>
    <xf numFmtId="3" fontId="38" fillId="23" borderId="28" xfId="2" applyNumberFormat="1" applyFont="1" applyFill="1" applyBorder="1" applyAlignment="1" applyProtection="1"/>
    <xf numFmtId="49" fontId="22" fillId="23" borderId="29" xfId="0" applyNumberFormat="1" applyFont="1" applyFill="1" applyBorder="1" applyAlignment="1" applyProtection="1">
      <alignment vertical="center" wrapText="1"/>
      <protection locked="0"/>
    </xf>
    <xf numFmtId="0" fontId="22" fillId="23" borderId="30" xfId="0" applyFont="1" applyFill="1" applyBorder="1" applyAlignment="1" applyProtection="1">
      <alignment vertical="center" wrapText="1"/>
      <protection locked="0"/>
    </xf>
    <xf numFmtId="3" fontId="22" fillId="23" borderId="30" xfId="0" applyNumberFormat="1" applyFont="1" applyFill="1" applyBorder="1" applyAlignment="1" applyProtection="1">
      <alignment vertical="center" wrapText="1"/>
      <protection locked="0"/>
    </xf>
    <xf numFmtId="3" fontId="38" fillId="23" borderId="14" xfId="2" applyNumberFormat="1" applyFont="1" applyFill="1" applyBorder="1" applyAlignment="1" applyProtection="1"/>
    <xf numFmtId="49" fontId="25" fillId="0" borderId="0" xfId="0" applyNumberFormat="1" applyFont="1"/>
    <xf numFmtId="3" fontId="22" fillId="17" borderId="28" xfId="0" applyNumberFormat="1" applyFont="1" applyFill="1" applyBorder="1" applyAlignment="1" applyProtection="1">
      <alignment vertical="center" wrapText="1"/>
      <protection locked="0"/>
    </xf>
    <xf numFmtId="3" fontId="22" fillId="17" borderId="14" xfId="0" applyNumberFormat="1" applyFont="1" applyFill="1" applyBorder="1" applyAlignment="1" applyProtection="1">
      <alignment vertical="center" wrapText="1"/>
      <protection locked="0"/>
    </xf>
    <xf numFmtId="3" fontId="22" fillId="17" borderId="21" xfId="0" applyNumberFormat="1" applyFont="1" applyFill="1" applyBorder="1" applyAlignment="1" applyProtection="1">
      <alignment vertical="center" wrapText="1"/>
      <protection locked="0"/>
    </xf>
    <xf numFmtId="3" fontId="18" fillId="17" borderId="21" xfId="0" applyNumberFormat="1" applyFont="1" applyFill="1" applyBorder="1" applyAlignment="1" applyProtection="1">
      <alignment vertical="center" wrapText="1"/>
      <protection locked="0"/>
    </xf>
    <xf numFmtId="0" fontId="20" fillId="0" borderId="30" xfId="0" applyFont="1" applyBorder="1" applyAlignment="1" applyProtection="1">
      <alignment vertical="center" wrapText="1"/>
      <protection locked="0"/>
    </xf>
    <xf numFmtId="3" fontId="20" fillId="0" borderId="14" xfId="0" applyNumberFormat="1" applyFont="1" applyBorder="1" applyAlignment="1" applyProtection="1">
      <alignment vertical="center" wrapText="1"/>
      <protection locked="0"/>
    </xf>
    <xf numFmtId="3" fontId="22" fillId="0" borderId="17" xfId="0" applyNumberFormat="1" applyFont="1" applyFill="1" applyBorder="1" applyAlignment="1" applyProtection="1">
      <alignment vertical="center" wrapText="1"/>
      <protection locked="0"/>
    </xf>
    <xf numFmtId="49" fontId="20" fillId="0" borderId="29" xfId="0" applyNumberFormat="1" applyFont="1" applyFill="1" applyBorder="1" applyAlignment="1" applyProtection="1">
      <alignment vertical="center" wrapText="1"/>
      <protection locked="0"/>
    </xf>
    <xf numFmtId="9" fontId="20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20" fillId="0" borderId="21" xfId="0" applyNumberFormat="1" applyFont="1" applyBorder="1" applyAlignment="1" applyProtection="1">
      <alignment vertical="center" wrapText="1"/>
      <protection locked="0"/>
    </xf>
    <xf numFmtId="0" fontId="22" fillId="0" borderId="35" xfId="0" applyFont="1" applyFill="1" applyBorder="1" applyAlignment="1" applyProtection="1">
      <alignment horizontal="right" vertical="center" wrapText="1"/>
      <protection locked="0"/>
    </xf>
    <xf numFmtId="3" fontId="22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0" fillId="0" borderId="41" xfId="0" applyFont="1" applyFill="1" applyBorder="1" applyAlignment="1" applyProtection="1">
      <alignment horizontal="center" vertical="center" wrapText="1" shrinkToFit="1"/>
    </xf>
    <xf numFmtId="3" fontId="20" fillId="0" borderId="12" xfId="0" applyNumberFormat="1" applyFont="1" applyFill="1" applyBorder="1" applyAlignment="1" applyProtection="1">
      <alignment horizontal="right" vertical="center" wrapText="1" shrinkToFit="1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34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8" fillId="0" borderId="12" xfId="0" applyNumberFormat="1" applyFont="1" applyBorder="1" applyAlignment="1" applyProtection="1">
      <alignment vertical="center" wrapText="1" shrinkToFit="1"/>
    </xf>
    <xf numFmtId="3" fontId="8" fillId="0" borderId="9" xfId="0" applyNumberFormat="1" applyFont="1" applyBorder="1" applyAlignment="1" applyProtection="1">
      <alignment vertical="center" wrapText="1" shrinkToFit="1"/>
    </xf>
    <xf numFmtId="3" fontId="8" fillId="0" borderId="17" xfId="0" applyNumberFormat="1" applyFont="1" applyBorder="1" applyAlignment="1" applyProtection="1">
      <alignment vertical="center" wrapText="1" shrinkToFit="1"/>
    </xf>
    <xf numFmtId="3" fontId="8" fillId="0" borderId="40" xfId="0" applyNumberFormat="1" applyFont="1" applyBorder="1" applyAlignment="1" applyProtection="1">
      <alignment vertical="center" wrapText="1" shrinkToFit="1"/>
    </xf>
    <xf numFmtId="3" fontId="11" fillId="0" borderId="11" xfId="0" applyNumberFormat="1" applyFont="1" applyBorder="1" applyAlignment="1" applyProtection="1">
      <alignment vertical="center" wrapText="1" shrinkToFit="1"/>
    </xf>
    <xf numFmtId="3" fontId="11" fillId="0" borderId="29" xfId="0" applyNumberFormat="1" applyFont="1" applyBorder="1" applyAlignment="1" applyProtection="1">
      <alignment vertical="center" wrapText="1" shrinkToFit="1"/>
    </xf>
    <xf numFmtId="3" fontId="11" fillId="0" borderId="36" xfId="0" applyNumberFormat="1" applyFont="1" applyBorder="1" applyAlignment="1" applyProtection="1">
      <alignment vertical="center" wrapText="1" shrinkToFit="1"/>
    </xf>
    <xf numFmtId="3" fontId="11" fillId="0" borderId="27" xfId="0" applyNumberFormat="1" applyFont="1" applyBorder="1" applyAlignment="1" applyProtection="1">
      <alignment vertical="center" wrapText="1" shrinkToFit="1"/>
    </xf>
    <xf numFmtId="3" fontId="11" fillId="0" borderId="37" xfId="0" applyNumberFormat="1" applyFont="1" applyBorder="1" applyAlignment="1" applyProtection="1">
      <alignment vertical="center" wrapText="1" shrinkToFit="1"/>
    </xf>
    <xf numFmtId="3" fontId="11" fillId="0" borderId="34" xfId="0" applyNumberFormat="1" applyFont="1" applyBorder="1" applyAlignment="1" applyProtection="1">
      <alignment vertical="center" wrapText="1" shrinkToFit="1"/>
    </xf>
    <xf numFmtId="3" fontId="11" fillId="0" borderId="35" xfId="0" applyNumberFormat="1" applyFont="1" applyBorder="1" applyAlignment="1" applyProtection="1">
      <alignment vertical="center" wrapText="1" shrinkToFit="1"/>
    </xf>
    <xf numFmtId="3" fontId="11" fillId="0" borderId="24" xfId="0" applyNumberFormat="1" applyFont="1" applyBorder="1" applyAlignment="1" applyProtection="1">
      <alignment vertical="center" wrapText="1" shrinkToFit="1"/>
    </xf>
    <xf numFmtId="3" fontId="11" fillId="0" borderId="30" xfId="0" applyNumberFormat="1" applyFont="1" applyBorder="1" applyAlignment="1" applyProtection="1">
      <alignment horizontal="right" vertical="center" wrapText="1" shrinkToFit="1"/>
    </xf>
    <xf numFmtId="3" fontId="11" fillId="0" borderId="64" xfId="0" applyNumberFormat="1" applyFont="1" applyBorder="1" applyAlignment="1" applyProtection="1">
      <alignment vertical="center" wrapText="1" shrinkToFit="1"/>
    </xf>
    <xf numFmtId="3" fontId="11" fillId="0" borderId="66" xfId="0" applyNumberFormat="1" applyFont="1" applyBorder="1" applyAlignment="1" applyProtection="1">
      <alignment vertical="center" wrapText="1" shrinkToFit="1"/>
    </xf>
    <xf numFmtId="3" fontId="11" fillId="0" borderId="62" xfId="0" applyNumberFormat="1" applyFont="1" applyBorder="1" applyAlignment="1" applyProtection="1">
      <alignment vertical="center" wrapText="1" shrinkToFit="1"/>
    </xf>
    <xf numFmtId="49" fontId="9" fillId="0" borderId="25" xfId="0" applyNumberFormat="1" applyFont="1" applyBorder="1" applyAlignment="1" applyProtection="1">
      <alignment vertical="center" wrapText="1" shrinkToFit="1"/>
    </xf>
    <xf numFmtId="49" fontId="9" fillId="0" borderId="50" xfId="0" applyNumberFormat="1" applyFont="1" applyBorder="1" applyAlignment="1" applyProtection="1">
      <alignment vertical="center" wrapText="1" shrinkToFit="1"/>
    </xf>
    <xf numFmtId="3" fontId="9" fillId="0" borderId="42" xfId="0" applyNumberFormat="1" applyFont="1" applyBorder="1" applyAlignment="1" applyProtection="1">
      <alignment vertical="center" wrapText="1" shrinkToFit="1"/>
    </xf>
    <xf numFmtId="3" fontId="9" fillId="0" borderId="15" xfId="0" applyNumberFormat="1" applyFont="1" applyBorder="1" applyAlignment="1" applyProtection="1">
      <alignment vertical="center" wrapText="1" shrinkToFit="1"/>
    </xf>
    <xf numFmtId="3" fontId="11" fillId="0" borderId="10" xfId="0" applyNumberFormat="1" applyFont="1" applyBorder="1" applyAlignment="1" applyProtection="1">
      <alignment vertical="center" wrapText="1" shrinkToFit="1"/>
    </xf>
    <xf numFmtId="3" fontId="9" fillId="0" borderId="27" xfId="0" applyNumberFormat="1" applyFont="1" applyBorder="1" applyAlignment="1" applyProtection="1">
      <alignment vertical="center" wrapText="1" shrinkToFit="1"/>
    </xf>
    <xf numFmtId="3" fontId="9" fillId="0" borderId="13" xfId="0" applyNumberFormat="1" applyFont="1" applyBorder="1" applyAlignment="1" applyProtection="1">
      <alignment vertical="center" wrapText="1" shrinkToFit="1"/>
    </xf>
    <xf numFmtId="3" fontId="9" fillId="0" borderId="20" xfId="0" applyNumberFormat="1" applyFont="1" applyBorder="1" applyAlignment="1" applyProtection="1">
      <alignment vertical="center" wrapText="1" shrinkToFit="1"/>
    </xf>
    <xf numFmtId="3" fontId="9" fillId="0" borderId="62" xfId="0" applyNumberFormat="1" applyFont="1" applyBorder="1" applyAlignment="1" applyProtection="1">
      <alignment vertical="center" wrapText="1" shrinkToFit="1"/>
    </xf>
    <xf numFmtId="3" fontId="9" fillId="0" borderId="64" xfId="0" applyNumberFormat="1" applyFont="1" applyBorder="1" applyAlignment="1" applyProtection="1">
      <alignment vertical="center" wrapText="1" shrinkToFit="1"/>
    </xf>
    <xf numFmtId="3" fontId="9" fillId="0" borderId="67" xfId="0" applyNumberFormat="1" applyFont="1" applyBorder="1" applyAlignment="1" applyProtection="1">
      <alignment vertical="center" wrapText="1" shrinkToFit="1"/>
    </xf>
    <xf numFmtId="3" fontId="9" fillId="0" borderId="66" xfId="0" applyNumberFormat="1" applyFont="1" applyBorder="1" applyAlignment="1" applyProtection="1">
      <alignment vertical="center" wrapText="1" shrinkToFit="1"/>
    </xf>
    <xf numFmtId="3" fontId="9" fillId="0" borderId="25" xfId="0" applyNumberFormat="1" applyFont="1" applyBorder="1" applyAlignment="1" applyProtection="1">
      <alignment vertical="center" wrapText="1" shrinkToFit="1"/>
    </xf>
    <xf numFmtId="0" fontId="56" fillId="0" borderId="46" xfId="0" applyFont="1" applyBorder="1" applyAlignment="1" applyProtection="1">
      <alignment vertical="center" wrapText="1"/>
      <protection locked="0"/>
    </xf>
    <xf numFmtId="9" fontId="40" fillId="0" borderId="2" xfId="1" applyNumberFormat="1" applyBorder="1" applyAlignment="1">
      <alignment horizontal="center"/>
      <protection locked="0"/>
    </xf>
    <xf numFmtId="165" fontId="40" fillId="0" borderId="38" xfId="1" applyNumberFormat="1" applyBorder="1">
      <protection locked="0"/>
    </xf>
    <xf numFmtId="9" fontId="40" fillId="0" borderId="65" xfId="1" applyNumberFormat="1" applyBorder="1" applyAlignment="1">
      <alignment horizontal="center"/>
      <protection locked="0"/>
    </xf>
    <xf numFmtId="9" fontId="40" fillId="0" borderId="62" xfId="1" applyNumberFormat="1" applyBorder="1" applyAlignment="1">
      <alignment horizontal="center"/>
      <protection locked="0"/>
    </xf>
    <xf numFmtId="9" fontId="40" fillId="0" borderId="63" xfId="1" applyNumberFormat="1" applyBorder="1" applyAlignment="1">
      <alignment horizontal="center"/>
      <protection locked="0"/>
    </xf>
    <xf numFmtId="9" fontId="40" fillId="0" borderId="30" xfId="1" applyNumberFormat="1" applyBorder="1" applyAlignment="1">
      <alignment horizontal="center"/>
      <protection locked="0"/>
    </xf>
    <xf numFmtId="9" fontId="40" fillId="0" borderId="45" xfId="1" applyNumberFormat="1" applyBorder="1" applyAlignment="1">
      <alignment horizontal="center"/>
      <protection locked="0"/>
    </xf>
    <xf numFmtId="165" fontId="40" fillId="0" borderId="24" xfId="1" applyNumberFormat="1" applyBorder="1">
      <protection locked="0"/>
    </xf>
    <xf numFmtId="9" fontId="40" fillId="0" borderId="42" xfId="1" applyNumberFormat="1" applyBorder="1" applyAlignment="1">
      <alignment horizontal="center"/>
      <protection locked="0"/>
    </xf>
    <xf numFmtId="165" fontId="40" fillId="0" borderId="62" xfId="1" applyNumberFormat="1" applyBorder="1">
      <protection locked="0"/>
    </xf>
    <xf numFmtId="165" fontId="1" fillId="0" borderId="34" xfId="0" applyNumberFormat="1" applyFont="1" applyFill="1" applyBorder="1"/>
    <xf numFmtId="165" fontId="1" fillId="0" borderId="36" xfId="0" applyNumberFormat="1" applyFont="1" applyFill="1" applyBorder="1"/>
    <xf numFmtId="165" fontId="40" fillId="0" borderId="25" xfId="1" applyNumberFormat="1" applyBorder="1">
      <protection locked="0"/>
    </xf>
    <xf numFmtId="165" fontId="40" fillId="0" borderId="37" xfId="1" applyNumberFormat="1" applyBorder="1">
      <protection locked="0"/>
    </xf>
    <xf numFmtId="165" fontId="40" fillId="0" borderId="65" xfId="1" applyNumberFormat="1" applyBorder="1">
      <protection locked="0"/>
    </xf>
    <xf numFmtId="165" fontId="40" fillId="0" borderId="74" xfId="1" applyNumberFormat="1" applyBorder="1">
      <protection locked="0"/>
    </xf>
    <xf numFmtId="165" fontId="40" fillId="0" borderId="60" xfId="1" applyNumberFormat="1" applyBorder="1">
      <protection locked="0"/>
    </xf>
    <xf numFmtId="165" fontId="40" fillId="0" borderId="52" xfId="1" applyNumberFormat="1" applyBorder="1">
      <protection locked="0"/>
    </xf>
    <xf numFmtId="165" fontId="40" fillId="0" borderId="45" xfId="1" applyNumberFormat="1" applyBorder="1">
      <protection locked="0"/>
    </xf>
    <xf numFmtId="3" fontId="22" fillId="0" borderId="12" xfId="0" applyNumberFormat="1" applyFont="1" applyFill="1" applyBorder="1" applyAlignment="1" applyProtection="1">
      <alignment vertical="center" wrapText="1"/>
      <protection locked="0"/>
    </xf>
    <xf numFmtId="1" fontId="9" fillId="0" borderId="45" xfId="0" applyNumberFormat="1" applyFont="1" applyBorder="1" applyAlignment="1" applyProtection="1">
      <alignment horizontal="center" vertical="center" wrapText="1" shrinkToFit="1"/>
    </xf>
    <xf numFmtId="1" fontId="9" fillId="24" borderId="48" xfId="0" applyNumberFormat="1" applyFont="1" applyFill="1" applyBorder="1" applyAlignment="1" applyProtection="1">
      <alignment horizontal="center" vertical="center" wrapText="1" shrinkToFit="1"/>
    </xf>
    <xf numFmtId="1" fontId="9" fillId="0" borderId="65" xfId="0" applyNumberFormat="1" applyFont="1" applyBorder="1" applyAlignment="1" applyProtection="1">
      <alignment horizontal="center" vertical="center" wrapText="1" shrinkToFit="1"/>
    </xf>
    <xf numFmtId="1" fontId="11" fillId="0" borderId="9" xfId="0" applyNumberFormat="1" applyFont="1" applyBorder="1" applyAlignment="1" applyProtection="1">
      <alignment horizontal="center" vertical="center" wrapText="1" shrinkToFit="1"/>
    </xf>
    <xf numFmtId="1" fontId="10" fillId="10" borderId="8" xfId="0" applyNumberFormat="1" applyFont="1" applyFill="1" applyBorder="1" applyAlignment="1" applyProtection="1">
      <alignment horizontal="center" vertical="center" wrapText="1" shrinkToFit="1"/>
    </xf>
    <xf numFmtId="1" fontId="10" fillId="10" borderId="48" xfId="0" applyNumberFormat="1" applyFont="1" applyFill="1" applyBorder="1" applyAlignment="1">
      <alignment horizontal="center"/>
    </xf>
    <xf numFmtId="1" fontId="10" fillId="10" borderId="53" xfId="0" applyNumberFormat="1" applyFont="1" applyFill="1" applyBorder="1" applyAlignment="1" applyProtection="1">
      <alignment horizontal="center" vertical="center" wrapText="1" shrinkToFit="1"/>
    </xf>
    <xf numFmtId="1" fontId="10" fillId="11" borderId="45" xfId="0" applyNumberFormat="1" applyFont="1" applyFill="1" applyBorder="1" applyAlignment="1" applyProtection="1">
      <alignment horizontal="center" vertical="center" wrapText="1" shrinkToFit="1"/>
    </xf>
    <xf numFmtId="1" fontId="17" fillId="9" borderId="2" xfId="0" applyNumberFormat="1" applyFont="1" applyFill="1" applyBorder="1" applyAlignment="1">
      <alignment horizontal="center"/>
    </xf>
    <xf numFmtId="1" fontId="9" fillId="0" borderId="38" xfId="0" applyNumberFormat="1" applyFont="1" applyBorder="1" applyAlignment="1" applyProtection="1">
      <alignment horizontal="center" vertical="center" wrapText="1" shrinkToFit="1"/>
    </xf>
    <xf numFmtId="1" fontId="11" fillId="0" borderId="26" xfId="0" applyNumberFormat="1" applyFont="1" applyBorder="1" applyAlignment="1" applyProtection="1">
      <alignment horizontal="center" vertical="center" wrapText="1" shrinkToFit="1"/>
    </xf>
    <xf numFmtId="1" fontId="10" fillId="10" borderId="1" xfId="0" applyNumberFormat="1" applyFont="1" applyFill="1" applyBorder="1" applyAlignment="1" applyProtection="1">
      <alignment horizontal="center" vertical="center" wrapText="1" shrinkToFit="1"/>
    </xf>
    <xf numFmtId="1" fontId="10" fillId="10" borderId="1" xfId="0" applyNumberFormat="1" applyFont="1" applyFill="1" applyBorder="1" applyAlignment="1">
      <alignment horizontal="center" vertical="center"/>
    </xf>
    <xf numFmtId="1" fontId="11" fillId="0" borderId="38" xfId="0" applyNumberFormat="1" applyFont="1" applyBorder="1" applyAlignment="1" applyProtection="1">
      <alignment horizontal="center" vertical="center" wrapText="1" shrinkToFit="1"/>
    </xf>
    <xf numFmtId="1" fontId="11" fillId="0" borderId="21" xfId="0" applyNumberFormat="1" applyFont="1" applyBorder="1" applyAlignment="1" applyProtection="1">
      <alignment horizontal="center" vertical="center" wrapText="1" shrinkToFit="1"/>
    </xf>
    <xf numFmtId="1" fontId="11" fillId="0" borderId="14" xfId="0" applyNumberFormat="1" applyFont="1" applyBorder="1" applyAlignment="1" applyProtection="1">
      <alignment horizontal="center" vertical="center" wrapText="1" shrinkToFit="1"/>
    </xf>
    <xf numFmtId="1" fontId="11" fillId="0" borderId="33" xfId="0" applyNumberFormat="1" applyFont="1" applyBorder="1" applyAlignment="1" applyProtection="1">
      <alignment horizontal="center" vertical="center" wrapText="1" shrinkToFit="1"/>
    </xf>
    <xf numFmtId="3" fontId="10" fillId="11" borderId="30" xfId="0" applyNumberFormat="1" applyFont="1" applyFill="1" applyBorder="1" applyAlignment="1" applyProtection="1">
      <alignment vertical="center" wrapText="1" shrinkToFit="1"/>
    </xf>
    <xf numFmtId="49" fontId="10" fillId="10" borderId="72" xfId="0" applyNumberFormat="1" applyFont="1" applyFill="1" applyBorder="1" applyAlignment="1" applyProtection="1">
      <alignment vertical="center" wrapText="1" shrinkToFit="1"/>
    </xf>
    <xf numFmtId="3" fontId="10" fillId="11" borderId="25" xfId="0" applyNumberFormat="1" applyFont="1" applyFill="1" applyBorder="1" applyAlignment="1" applyProtection="1">
      <alignment vertical="center" wrapText="1" shrinkToFit="1"/>
    </xf>
    <xf numFmtId="49" fontId="10" fillId="10" borderId="15" xfId="0" applyNumberFormat="1" applyFont="1" applyFill="1" applyBorder="1" applyAlignment="1" applyProtection="1">
      <alignment vertical="center" wrapText="1" shrinkToFit="1"/>
    </xf>
    <xf numFmtId="3" fontId="10" fillId="11" borderId="72" xfId="0" applyNumberFormat="1" applyFont="1" applyFill="1" applyBorder="1" applyAlignment="1" applyProtection="1">
      <alignment vertical="center" wrapText="1" shrinkToFit="1"/>
    </xf>
    <xf numFmtId="1" fontId="10" fillId="10" borderId="26" xfId="0" applyNumberFormat="1" applyFont="1" applyFill="1" applyBorder="1" applyAlignment="1">
      <alignment horizontal="center" vertical="center"/>
    </xf>
    <xf numFmtId="1" fontId="10" fillId="10" borderId="27" xfId="0" applyNumberFormat="1" applyFont="1" applyFill="1" applyBorder="1" applyAlignment="1">
      <alignment horizontal="center" vertical="center"/>
    </xf>
    <xf numFmtId="3" fontId="22" fillId="0" borderId="52" xfId="0" applyNumberFormat="1" applyFont="1" applyBorder="1" applyAlignment="1" applyProtection="1">
      <alignment vertical="center" wrapText="1"/>
      <protection locked="0"/>
    </xf>
    <xf numFmtId="3" fontId="9" fillId="0" borderId="52" xfId="0" applyNumberFormat="1" applyFont="1" applyBorder="1" applyAlignment="1" applyProtection="1">
      <alignment vertical="center" wrapText="1" shrinkToFit="1"/>
    </xf>
    <xf numFmtId="3" fontId="9" fillId="0" borderId="60" xfId="0" applyNumberFormat="1" applyFont="1" applyBorder="1" applyAlignment="1" applyProtection="1">
      <alignment vertical="center" wrapText="1" shrinkToFit="1"/>
    </xf>
    <xf numFmtId="3" fontId="22" fillId="0" borderId="28" xfId="0" applyNumberFormat="1" applyFont="1" applyBorder="1" applyAlignment="1" applyProtection="1">
      <alignment horizontal="center" vertical="center" wrapText="1"/>
      <protection locked="0"/>
    </xf>
    <xf numFmtId="3" fontId="22" fillId="0" borderId="33" xfId="0" applyNumberFormat="1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1" fontId="11" fillId="0" borderId="46" xfId="0" applyNumberFormat="1" applyFont="1" applyBorder="1" applyAlignment="1" applyProtection="1">
      <alignment horizontal="center" vertical="center" wrapText="1" shrinkToFit="1"/>
    </xf>
    <xf numFmtId="0" fontId="0" fillId="0" borderId="12" xfId="0" applyBorder="1"/>
    <xf numFmtId="3" fontId="8" fillId="0" borderId="43" xfId="0" applyNumberFormat="1" applyFont="1" applyBorder="1" applyAlignment="1" applyProtection="1">
      <alignment vertical="center" wrapText="1" shrinkToFit="1"/>
    </xf>
    <xf numFmtId="3" fontId="11" fillId="0" borderId="52" xfId="0" applyNumberFormat="1" applyFont="1" applyBorder="1" applyAlignment="1" applyProtection="1">
      <alignment vertical="center" wrapText="1" shrinkToFit="1"/>
    </xf>
    <xf numFmtId="0" fontId="20" fillId="0" borderId="64" xfId="0" applyFont="1" applyFill="1" applyBorder="1" applyAlignment="1" applyProtection="1">
      <alignment vertical="center" wrapText="1"/>
      <protection locked="0"/>
    </xf>
    <xf numFmtId="0" fontId="22" fillId="0" borderId="65" xfId="0" applyFont="1" applyBorder="1" applyAlignment="1" applyProtection="1">
      <alignment vertical="center" wrapText="1"/>
      <protection locked="0"/>
    </xf>
    <xf numFmtId="49" fontId="20" fillId="0" borderId="44" xfId="0" applyNumberFormat="1" applyFont="1" applyFill="1" applyBorder="1" applyAlignment="1" applyProtection="1">
      <alignment horizontal="left" vertical="center" wrapText="1" shrinkToFit="1"/>
    </xf>
    <xf numFmtId="0" fontId="20" fillId="0" borderId="46" xfId="0" applyFont="1" applyFill="1" applyBorder="1" applyAlignment="1" applyProtection="1">
      <alignment horizontal="center" vertical="center" wrapText="1" shrinkToFit="1"/>
    </xf>
    <xf numFmtId="3" fontId="20" fillId="0" borderId="9" xfId="0" applyNumberFormat="1" applyFont="1" applyFill="1" applyBorder="1" applyAlignment="1" applyProtection="1">
      <alignment horizontal="right" vertical="center" wrapText="1" shrinkToFit="1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3" fontId="9" fillId="0" borderId="27" xfId="0" applyNumberFormat="1" applyFont="1" applyBorder="1" applyAlignment="1" applyProtection="1">
      <alignment horizontal="center" vertical="center" wrapText="1" shrinkToFit="1"/>
    </xf>
    <xf numFmtId="3" fontId="9" fillId="0" borderId="13" xfId="0" applyNumberFormat="1" applyFont="1" applyBorder="1" applyAlignment="1" applyProtection="1">
      <alignment horizontal="center" vertical="center" wrapText="1" shrinkToFit="1"/>
    </xf>
    <xf numFmtId="3" fontId="9" fillId="0" borderId="20" xfId="0" applyNumberFormat="1" applyFont="1" applyBorder="1" applyAlignment="1" applyProtection="1">
      <alignment horizontal="center" vertical="center" wrapText="1" shrinkToFit="1"/>
    </xf>
    <xf numFmtId="3" fontId="9" fillId="0" borderId="76" xfId="0" applyNumberFormat="1" applyFont="1" applyBorder="1" applyAlignment="1" applyProtection="1">
      <alignment horizontal="center" vertical="center" wrapText="1" shrinkToFit="1"/>
    </xf>
    <xf numFmtId="3" fontId="9" fillId="0" borderId="38" xfId="0" applyNumberFormat="1" applyFont="1" applyBorder="1" applyAlignment="1" applyProtection="1">
      <alignment horizontal="center" vertical="center" wrapText="1" shrinkToFit="1"/>
    </xf>
    <xf numFmtId="3" fontId="11" fillId="0" borderId="26" xfId="0" applyNumberFormat="1" applyFont="1" applyBorder="1" applyAlignment="1" applyProtection="1">
      <alignment horizontal="center" vertical="center" wrapText="1" shrinkToFit="1"/>
    </xf>
    <xf numFmtId="3" fontId="9" fillId="0" borderId="14" xfId="0" applyNumberFormat="1" applyFont="1" applyBorder="1" applyAlignment="1" applyProtection="1">
      <alignment horizontal="center" vertical="center" wrapText="1" shrinkToFit="1"/>
    </xf>
    <xf numFmtId="3" fontId="12" fillId="3" borderId="2" xfId="0" applyNumberFormat="1" applyFont="1" applyFill="1" applyBorder="1" applyAlignment="1" applyProtection="1">
      <alignment horizontal="center" vertical="center" wrapText="1" shrinkToFit="1"/>
    </xf>
    <xf numFmtId="3" fontId="57" fillId="0" borderId="0" xfId="0" applyNumberFormat="1" applyFont="1"/>
    <xf numFmtId="3" fontId="72" fillId="0" borderId="0" xfId="0" applyNumberFormat="1" applyFont="1"/>
    <xf numFmtId="49" fontId="22" fillId="0" borderId="24" xfId="0" applyNumberFormat="1" applyFont="1" applyFill="1" applyBorder="1" applyAlignment="1" applyProtection="1">
      <alignment vertical="center" wrapText="1"/>
      <protection locked="0"/>
    </xf>
    <xf numFmtId="0" fontId="22" fillId="0" borderId="62" xfId="0" applyFont="1" applyFill="1" applyBorder="1" applyAlignment="1" applyProtection="1">
      <alignment vertical="center" wrapText="1"/>
      <protection locked="0"/>
    </xf>
    <xf numFmtId="3" fontId="22" fillId="0" borderId="25" xfId="0" applyNumberFormat="1" applyFont="1" applyFill="1" applyBorder="1" applyAlignment="1" applyProtection="1">
      <alignment vertical="center" wrapText="1"/>
      <protection locked="0"/>
    </xf>
    <xf numFmtId="9" fontId="22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Fill="1" applyBorder="1" applyAlignment="1" applyProtection="1">
      <alignment vertical="center" wrapText="1"/>
      <protection locked="0"/>
    </xf>
    <xf numFmtId="1" fontId="9" fillId="0" borderId="26" xfId="0" applyNumberFormat="1" applyFont="1" applyBorder="1" applyAlignment="1" applyProtection="1">
      <alignment horizontal="center" vertical="center" wrapText="1" shrinkToFit="1"/>
    </xf>
    <xf numFmtId="1" fontId="9" fillId="0" borderId="33" xfId="0" applyNumberFormat="1" applyFont="1" applyBorder="1" applyAlignment="1" applyProtection="1">
      <alignment horizontal="center" vertical="center" wrapText="1" shrinkToFit="1"/>
    </xf>
    <xf numFmtId="1" fontId="9" fillId="0" borderId="21" xfId="0" applyNumberFormat="1" applyFont="1" applyBorder="1" applyAlignment="1" applyProtection="1">
      <alignment horizontal="center" vertical="center" wrapText="1" shrinkToFit="1"/>
    </xf>
    <xf numFmtId="49" fontId="9" fillId="0" borderId="24" xfId="0" applyNumberFormat="1" applyFont="1" applyBorder="1" applyAlignment="1" applyProtection="1">
      <alignment vertical="center" wrapText="1" shrinkToFit="1"/>
    </xf>
    <xf numFmtId="3" fontId="9" fillId="0" borderId="25" xfId="0" applyNumberFormat="1" applyFont="1" applyBorder="1" applyAlignment="1" applyProtection="1">
      <alignment horizontal="right" vertical="center" wrapText="1" shrinkToFit="1"/>
    </xf>
    <xf numFmtId="49" fontId="9" fillId="0" borderId="42" xfId="0" applyNumberFormat="1" applyFont="1" applyBorder="1" applyAlignment="1" applyProtection="1">
      <alignment vertical="center" wrapText="1" shrinkToFit="1"/>
    </xf>
    <xf numFmtId="3" fontId="9" fillId="0" borderId="56" xfId="0" applyNumberFormat="1" applyFont="1" applyBorder="1" applyAlignment="1" applyProtection="1">
      <alignment vertical="center" wrapText="1" shrinkToFit="1"/>
    </xf>
    <xf numFmtId="49" fontId="55" fillId="0" borderId="30" xfId="0" applyNumberFormat="1" applyFont="1" applyBorder="1" applyAlignment="1">
      <alignment vertical="top" wrapText="1"/>
    </xf>
    <xf numFmtId="49" fontId="55" fillId="0" borderId="35" xfId="0" applyNumberFormat="1" applyFont="1" applyBorder="1" applyAlignment="1">
      <alignment wrapText="1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4" fillId="0" borderId="46" xfId="0" applyNumberFormat="1" applyFont="1" applyBorder="1" applyAlignment="1" applyProtection="1">
      <alignment horizontal="right" wrapText="1"/>
      <protection locked="0"/>
    </xf>
    <xf numFmtId="3" fontId="24" fillId="0" borderId="41" xfId="0" applyNumberFormat="1" applyFont="1" applyBorder="1" applyAlignment="1" applyProtection="1">
      <alignment horizontal="right" wrapText="1"/>
      <protection locked="0"/>
    </xf>
    <xf numFmtId="3" fontId="21" fillId="0" borderId="65" xfId="1" applyNumberFormat="1" applyFont="1" applyBorder="1" applyAlignment="1">
      <alignment horizontal="center"/>
      <protection locked="0"/>
    </xf>
    <xf numFmtId="3" fontId="25" fillId="0" borderId="65" xfId="1" applyNumberFormat="1" applyFont="1" applyBorder="1" applyAlignment="1">
      <alignment horizontal="center"/>
      <protection locked="0"/>
    </xf>
    <xf numFmtId="3" fontId="21" fillId="0" borderId="10" xfId="1" applyNumberFormat="1" applyFont="1" applyBorder="1" applyAlignment="1">
      <alignment horizontal="center"/>
      <protection locked="0"/>
    </xf>
    <xf numFmtId="49" fontId="18" fillId="24" borderId="44" xfId="0" applyNumberFormat="1" applyFont="1" applyFill="1" applyBorder="1" applyAlignment="1" applyProtection="1">
      <alignment vertical="center" wrapText="1"/>
      <protection locked="0"/>
    </xf>
    <xf numFmtId="0" fontId="18" fillId="24" borderId="45" xfId="0" applyFont="1" applyFill="1" applyBorder="1" applyAlignment="1" applyProtection="1">
      <alignment vertical="center" wrapText="1"/>
      <protection locked="0"/>
    </xf>
    <xf numFmtId="3" fontId="18" fillId="24" borderId="45" xfId="0" applyNumberFormat="1" applyFont="1" applyFill="1" applyBorder="1" applyAlignment="1" applyProtection="1">
      <alignment horizontal="right" wrapText="1"/>
      <protection locked="0"/>
    </xf>
    <xf numFmtId="3" fontId="21" fillId="24" borderId="45" xfId="1" applyNumberFormat="1" applyFont="1" applyFill="1" applyBorder="1">
      <protection locked="0"/>
    </xf>
    <xf numFmtId="3" fontId="21" fillId="24" borderId="45" xfId="1" applyNumberFormat="1" applyFont="1" applyFill="1" applyBorder="1" applyAlignment="1">
      <alignment horizontal="center"/>
      <protection locked="0"/>
    </xf>
    <xf numFmtId="3" fontId="21" fillId="24" borderId="9" xfId="1" applyNumberFormat="1" applyFont="1" applyFill="1" applyBorder="1">
      <protection locked="0"/>
    </xf>
    <xf numFmtId="49" fontId="18" fillId="24" borderId="59" xfId="0" applyNumberFormat="1" applyFont="1" applyFill="1" applyBorder="1" applyAlignment="1" applyProtection="1">
      <alignment vertical="center" wrapText="1"/>
      <protection locked="0"/>
    </xf>
    <xf numFmtId="0" fontId="18" fillId="24" borderId="60" xfId="0" applyFont="1" applyFill="1" applyBorder="1" applyAlignment="1" applyProtection="1">
      <alignment vertical="center" wrapText="1"/>
      <protection locked="0"/>
    </xf>
    <xf numFmtId="3" fontId="18" fillId="24" borderId="60" xfId="0" applyNumberFormat="1" applyFont="1" applyFill="1" applyBorder="1" applyAlignment="1" applyProtection="1">
      <alignment horizontal="right" wrapText="1"/>
      <protection locked="0"/>
    </xf>
    <xf numFmtId="3" fontId="21" fillId="24" borderId="30" xfId="1" applyNumberFormat="1" applyFont="1" applyFill="1" applyBorder="1">
      <protection locked="0"/>
    </xf>
    <xf numFmtId="3" fontId="21" fillId="24" borderId="14" xfId="1" applyNumberFormat="1" applyFont="1" applyFill="1" applyBorder="1" applyAlignment="1">
      <alignment horizontal="center"/>
      <protection locked="0"/>
    </xf>
    <xf numFmtId="3" fontId="21" fillId="24" borderId="32" xfId="1" applyNumberFormat="1" applyFont="1" applyFill="1" applyBorder="1">
      <protection locked="0"/>
    </xf>
    <xf numFmtId="0" fontId="18" fillId="24" borderId="29" xfId="0" applyFont="1" applyFill="1" applyBorder="1" applyAlignment="1" applyProtection="1">
      <alignment vertical="center" wrapText="1"/>
      <protection locked="0"/>
    </xf>
    <xf numFmtId="0" fontId="18" fillId="24" borderId="30" xfId="0" applyFont="1" applyFill="1" applyBorder="1" applyAlignment="1" applyProtection="1">
      <alignment vertical="center" wrapText="1"/>
      <protection locked="0"/>
    </xf>
    <xf numFmtId="3" fontId="18" fillId="24" borderId="30" xfId="0" applyNumberFormat="1" applyFont="1" applyFill="1" applyBorder="1" applyAlignment="1" applyProtection="1">
      <alignment horizontal="right" wrapText="1"/>
      <protection locked="0"/>
    </xf>
    <xf numFmtId="3" fontId="21" fillId="24" borderId="12" xfId="1" applyNumberFormat="1" applyFont="1" applyFill="1" applyBorder="1">
      <protection locked="0"/>
    </xf>
    <xf numFmtId="49" fontId="18" fillId="24" borderId="29" xfId="0" applyNumberFormat="1" applyFont="1" applyFill="1" applyBorder="1" applyAlignment="1" applyProtection="1">
      <alignment vertical="center" wrapText="1"/>
      <protection locked="0"/>
    </xf>
    <xf numFmtId="3" fontId="36" fillId="24" borderId="30" xfId="1" applyNumberFormat="1" applyFont="1" applyFill="1" applyBorder="1">
      <protection locked="0"/>
    </xf>
    <xf numFmtId="0" fontId="18" fillId="24" borderId="44" xfId="0" applyFont="1" applyFill="1" applyBorder="1" applyAlignment="1" applyProtection="1">
      <alignment vertical="center" wrapText="1"/>
      <protection locked="0"/>
    </xf>
    <xf numFmtId="3" fontId="20" fillId="0" borderId="65" xfId="1" applyNumberFormat="1" applyFont="1" applyBorder="1" applyAlignment="1">
      <alignment horizontal="center"/>
      <protection locked="0"/>
    </xf>
    <xf numFmtId="3" fontId="18" fillId="16" borderId="48" xfId="0" applyNumberFormat="1" applyFont="1" applyFill="1" applyBorder="1" applyAlignment="1" applyProtection="1">
      <alignment vertical="center" wrapText="1"/>
      <protection locked="0"/>
    </xf>
    <xf numFmtId="3" fontId="18" fillId="16" borderId="48" xfId="0" applyNumberFormat="1" applyFont="1" applyFill="1" applyBorder="1" applyAlignment="1" applyProtection="1">
      <alignment horizontal="center" vertical="center" wrapText="1"/>
      <protection locked="0"/>
    </xf>
    <xf numFmtId="3" fontId="18" fillId="16" borderId="2" xfId="0" applyNumberFormat="1" applyFont="1" applyFill="1" applyBorder="1" applyAlignment="1" applyProtection="1">
      <alignment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wrapText="1"/>
      <protection locked="0"/>
    </xf>
    <xf numFmtId="3" fontId="21" fillId="16" borderId="48" xfId="1" applyNumberFormat="1" applyFont="1" applyFill="1" applyBorder="1" applyAlignment="1">
      <alignment horizontal="center"/>
      <protection locked="0"/>
    </xf>
    <xf numFmtId="3" fontId="21" fillId="16" borderId="2" xfId="1" applyNumberFormat="1" applyFont="1" applyFill="1" applyBorder="1">
      <protection locked="0"/>
    </xf>
    <xf numFmtId="3" fontId="18" fillId="16" borderId="52" xfId="0" applyNumberFormat="1" applyFont="1" applyFill="1" applyBorder="1" applyAlignment="1" applyProtection="1">
      <alignment vertical="center" wrapText="1"/>
      <protection locked="0"/>
    </xf>
    <xf numFmtId="3" fontId="18" fillId="16" borderId="52" xfId="0" applyNumberFormat="1" applyFont="1" applyFill="1" applyBorder="1" applyAlignment="1" applyProtection="1">
      <alignment horizontal="center" vertical="center" wrapText="1"/>
      <protection locked="0"/>
    </xf>
    <xf numFmtId="3" fontId="21" fillId="16" borderId="1" xfId="2" applyNumberFormat="1" applyFont="1" applyFill="1" applyBorder="1" applyAlignment="1" applyProtection="1">
      <alignment vertical="center"/>
    </xf>
    <xf numFmtId="3" fontId="18" fillId="16" borderId="63" xfId="0" applyNumberFormat="1" applyFont="1" applyFill="1" applyBorder="1" applyAlignment="1" applyProtection="1">
      <alignment horizontal="right" vertical="center" wrapText="1"/>
      <protection locked="0"/>
    </xf>
    <xf numFmtId="3" fontId="18" fillId="16" borderId="1" xfId="0" applyNumberFormat="1" applyFont="1" applyFill="1" applyBorder="1" applyAlignment="1" applyProtection="1">
      <alignment vertical="center" wrapText="1"/>
      <protection locked="0"/>
    </xf>
    <xf numFmtId="0" fontId="18" fillId="16" borderId="49" xfId="0" applyFont="1" applyFill="1" applyBorder="1" applyAlignment="1" applyProtection="1">
      <alignment horizontal="right" vertical="center" wrapText="1"/>
      <protection locked="0"/>
    </xf>
    <xf numFmtId="3" fontId="18" fillId="16" borderId="4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0" borderId="64" xfId="0" applyFont="1" applyBorder="1" applyAlignment="1" applyProtection="1">
      <alignment vertical="center" wrapTex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2" fillId="0" borderId="65" xfId="0" applyNumberFormat="1" applyFont="1" applyBorder="1" applyAlignment="1" applyProtection="1">
      <alignment vertical="center" wrapText="1"/>
      <protection locked="0"/>
    </xf>
    <xf numFmtId="171" fontId="22" fillId="0" borderId="64" xfId="0" applyNumberFormat="1" applyFont="1" applyBorder="1" applyAlignment="1" applyProtection="1">
      <alignment horizontal="center" vertical="center" wrapText="1"/>
      <protection locked="0"/>
    </xf>
    <xf numFmtId="3" fontId="65" fillId="0" borderId="0" xfId="0" applyNumberFormat="1" applyFont="1"/>
    <xf numFmtId="3" fontId="73" fillId="0" borderId="0" xfId="0" applyNumberFormat="1" applyFont="1"/>
    <xf numFmtId="3" fontId="74" fillId="0" borderId="0" xfId="0" applyNumberFormat="1" applyFont="1"/>
    <xf numFmtId="3" fontId="73" fillId="0" borderId="0" xfId="0" applyNumberFormat="1" applyFont="1" applyFill="1"/>
    <xf numFmtId="9" fontId="0" fillId="0" borderId="0" xfId="0" applyNumberFormat="1" applyFill="1"/>
    <xf numFmtId="49" fontId="22" fillId="17" borderId="16" xfId="0" applyNumberFormat="1" applyFont="1" applyFill="1" applyBorder="1" applyAlignment="1" applyProtection="1">
      <alignment vertical="center" wrapText="1"/>
      <protection locked="0"/>
    </xf>
    <xf numFmtId="10" fontId="20" fillId="0" borderId="30" xfId="0" applyNumberFormat="1" applyFont="1" applyFill="1" applyBorder="1" applyAlignment="1" applyProtection="1">
      <alignment horizontal="center" vertical="center" wrapText="1" shrinkToFit="1"/>
    </xf>
    <xf numFmtId="3" fontId="22" fillId="2" borderId="60" xfId="0" applyNumberFormat="1" applyFont="1" applyFill="1" applyBorder="1" applyAlignment="1" applyProtection="1">
      <alignment vertical="center" wrapText="1"/>
      <protection locked="0"/>
    </xf>
    <xf numFmtId="3" fontId="22" fillId="2" borderId="43" xfId="0" applyNumberFormat="1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1" fillId="12" borderId="21" xfId="0" applyFont="1" applyFill="1" applyBorder="1" applyAlignment="1" applyProtection="1">
      <alignment horizontal="center" vertical="center" wrapText="1" shrinkToFit="1"/>
    </xf>
    <xf numFmtId="49" fontId="22" fillId="0" borderId="47" xfId="0" applyNumberFormat="1" applyFont="1" applyBorder="1" applyAlignment="1" applyProtection="1">
      <alignment vertical="center" wrapText="1"/>
      <protection locked="0"/>
    </xf>
    <xf numFmtId="0" fontId="22" fillId="0" borderId="48" xfId="0" applyFont="1" applyFill="1" applyBorder="1" applyAlignment="1" applyProtection="1">
      <alignment vertical="center" wrapText="1"/>
      <protection locked="0"/>
    </xf>
    <xf numFmtId="3" fontId="22" fillId="0" borderId="48" xfId="0" applyNumberFormat="1" applyFont="1" applyFill="1" applyBorder="1" applyAlignment="1" applyProtection="1">
      <alignment vertical="center" wrapText="1"/>
      <protection locked="0"/>
    </xf>
    <xf numFmtId="3" fontId="22" fillId="0" borderId="48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8" xfId="0" applyNumberFormat="1" applyFont="1" applyFill="1" applyBorder="1" applyAlignment="1" applyProtection="1">
      <alignment vertical="center" wrapText="1"/>
      <protection locked="0"/>
    </xf>
    <xf numFmtId="3" fontId="24" fillId="0" borderId="30" xfId="0" applyNumberFormat="1" applyFont="1" applyFill="1" applyBorder="1" applyAlignment="1" applyProtection="1">
      <alignment vertical="center" wrapText="1"/>
      <protection locked="0"/>
    </xf>
    <xf numFmtId="0" fontId="22" fillId="25" borderId="30" xfId="0" applyFont="1" applyFill="1" applyBorder="1" applyAlignment="1" applyProtection="1">
      <alignment vertical="center" wrapText="1"/>
      <protection locked="0"/>
    </xf>
    <xf numFmtId="3" fontId="22" fillId="25" borderId="30" xfId="0" applyNumberFormat="1" applyFont="1" applyFill="1" applyBorder="1" applyAlignment="1" applyProtection="1">
      <alignment vertical="center" wrapText="1"/>
      <protection locked="0"/>
    </xf>
    <xf numFmtId="3" fontId="22" fillId="25" borderId="14" xfId="0" applyNumberFormat="1" applyFont="1" applyFill="1" applyBorder="1" applyAlignment="1" applyProtection="1">
      <alignment vertical="center" wrapText="1"/>
      <protection locked="0"/>
    </xf>
    <xf numFmtId="3" fontId="22" fillId="0" borderId="13" xfId="0" applyNumberFormat="1" applyFont="1" applyBorder="1" applyAlignment="1" applyProtection="1">
      <alignment vertical="center" wrapText="1"/>
      <protection locked="0"/>
    </xf>
    <xf numFmtId="0" fontId="22" fillId="25" borderId="41" xfId="0" applyFont="1" applyFill="1" applyBorder="1" applyAlignment="1" applyProtection="1">
      <alignment vertical="center" wrapText="1"/>
      <protection locked="0"/>
    </xf>
    <xf numFmtId="0" fontId="22" fillId="25" borderId="15" xfId="0" applyFont="1" applyFill="1" applyBorder="1" applyAlignment="1" applyProtection="1">
      <alignment vertical="center" wrapText="1"/>
      <protection locked="0"/>
    </xf>
    <xf numFmtId="3" fontId="22" fillId="25" borderId="13" xfId="0" applyNumberFormat="1" applyFont="1" applyFill="1" applyBorder="1" applyAlignment="1" applyProtection="1">
      <alignment vertical="center" wrapText="1"/>
      <protection locked="0"/>
    </xf>
    <xf numFmtId="0" fontId="18" fillId="0" borderId="64" xfId="0" applyFont="1" applyFill="1" applyBorder="1" applyAlignment="1" applyProtection="1">
      <alignment vertical="center" wrapText="1"/>
      <protection locked="0"/>
    </xf>
    <xf numFmtId="0" fontId="22" fillId="17" borderId="58" xfId="0" applyFont="1" applyFill="1" applyBorder="1" applyAlignment="1" applyProtection="1">
      <alignment vertical="center" wrapText="1"/>
      <protection locked="0"/>
    </xf>
    <xf numFmtId="0" fontId="22" fillId="17" borderId="72" xfId="0" applyFont="1" applyFill="1" applyBorder="1" applyAlignment="1" applyProtection="1">
      <alignment vertical="center" wrapText="1"/>
      <protection locked="0"/>
    </xf>
    <xf numFmtId="3" fontId="22" fillId="17" borderId="71" xfId="0" applyNumberFormat="1" applyFont="1" applyFill="1" applyBorder="1" applyAlignment="1" applyProtection="1">
      <alignment vertical="center" wrapText="1"/>
      <protection locked="0"/>
    </xf>
    <xf numFmtId="0" fontId="0" fillId="0" borderId="30" xfId="0" applyBorder="1"/>
    <xf numFmtId="3" fontId="0" fillId="0" borderId="0" xfId="0" applyNumberFormat="1" applyAlignment="1">
      <alignment horizontal="center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0" fontId="22" fillId="0" borderId="45" xfId="0" applyFont="1" applyFill="1" applyBorder="1" applyAlignment="1" applyProtection="1">
      <alignment vertical="center" wrapText="1"/>
      <protection locked="0"/>
    </xf>
    <xf numFmtId="3" fontId="21" fillId="0" borderId="14" xfId="0" applyNumberFormat="1" applyFont="1" applyFill="1" applyBorder="1" applyAlignment="1" applyProtection="1">
      <alignment horizontal="right" vertical="center" wrapText="1" shrinkToFit="1"/>
    </xf>
    <xf numFmtId="0" fontId="22" fillId="17" borderId="29" xfId="0" applyFont="1" applyFill="1" applyBorder="1" applyAlignment="1" applyProtection="1">
      <alignment vertical="center" wrapText="1"/>
      <protection locked="0"/>
    </xf>
    <xf numFmtId="3" fontId="22" fillId="17" borderId="30" xfId="0" applyNumberFormat="1" applyFont="1" applyFill="1" applyBorder="1" applyAlignment="1" applyProtection="1">
      <alignment horizontal="center" vertical="center" wrapText="1"/>
      <protection locked="0"/>
    </xf>
    <xf numFmtId="3" fontId="20" fillId="17" borderId="14" xfId="2" applyNumberFormat="1" applyFont="1" applyFill="1" applyBorder="1" applyAlignment="1" applyProtection="1"/>
    <xf numFmtId="0" fontId="0" fillId="17" borderId="58" xfId="0" applyFill="1" applyBorder="1"/>
    <xf numFmtId="0" fontId="0" fillId="17" borderId="25" xfId="0" applyFill="1" applyBorder="1"/>
    <xf numFmtId="3" fontId="26" fillId="0" borderId="0" xfId="0" applyNumberFormat="1" applyFont="1" applyFill="1"/>
    <xf numFmtId="3" fontId="43" fillId="0" borderId="0" xfId="0" applyNumberFormat="1" applyFont="1"/>
    <xf numFmtId="3" fontId="26" fillId="0" borderId="10" xfId="0" applyNumberFormat="1" applyFont="1" applyBorder="1"/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49" fontId="22" fillId="0" borderId="30" xfId="0" applyNumberFormat="1" applyFont="1" applyFill="1" applyBorder="1" applyAlignment="1" applyProtection="1">
      <alignment horizontal="left" vertical="center" wrapText="1"/>
      <protection locked="0"/>
    </xf>
    <xf numFmtId="9" fontId="57" fillId="0" borderId="0" xfId="0" applyNumberFormat="1" applyFont="1" applyFill="1"/>
    <xf numFmtId="3" fontId="18" fillId="4" borderId="30" xfId="0" applyNumberFormat="1" applyFont="1" applyFill="1" applyBorder="1" applyAlignment="1" applyProtection="1">
      <alignment vertical="center" wrapText="1"/>
      <protection locked="0"/>
    </xf>
    <xf numFmtId="3" fontId="25" fillId="0" borderId="0" xfId="0" applyNumberFormat="1" applyFont="1" applyBorder="1"/>
    <xf numFmtId="9" fontId="53" fillId="0" borderId="39" xfId="1" applyNumberFormat="1" applyFont="1" applyBorder="1" applyAlignment="1">
      <alignment horizontal="center"/>
      <protection locked="0"/>
    </xf>
    <xf numFmtId="9" fontId="53" fillId="0" borderId="2" xfId="1" applyNumberFormat="1" applyFont="1" applyBorder="1" applyAlignment="1">
      <alignment horizontal="center"/>
      <protection locked="0"/>
    </xf>
    <xf numFmtId="165" fontId="53" fillId="0" borderId="77" xfId="1" applyNumberFormat="1" applyFont="1" applyBorder="1">
      <protection locked="0"/>
    </xf>
    <xf numFmtId="9" fontId="0" fillId="0" borderId="79" xfId="1" applyNumberFormat="1" applyFont="1" applyBorder="1" applyAlignment="1">
      <alignment horizontal="center"/>
      <protection locked="0"/>
    </xf>
    <xf numFmtId="0" fontId="2" fillId="3" borderId="4" xfId="0" applyFont="1" applyFill="1" applyBorder="1"/>
    <xf numFmtId="165" fontId="53" fillId="0" borderId="7" xfId="1" applyNumberFormat="1" applyFont="1" applyBorder="1">
      <protection locked="0"/>
    </xf>
    <xf numFmtId="0" fontId="0" fillId="0" borderId="29" xfId="0" applyFill="1" applyBorder="1"/>
    <xf numFmtId="3" fontId="0" fillId="0" borderId="14" xfId="0" applyNumberFormat="1" applyFill="1" applyBorder="1"/>
    <xf numFmtId="0" fontId="22" fillId="0" borderId="59" xfId="0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0" fontId="20" fillId="0" borderId="64" xfId="0" applyFont="1" applyBorder="1" applyAlignment="1" applyProtection="1">
      <alignment vertical="center" wrapText="1"/>
      <protection locked="0"/>
    </xf>
    <xf numFmtId="3" fontId="20" fillId="0" borderId="64" xfId="0" applyNumberFormat="1" applyFont="1" applyBorder="1" applyAlignment="1" applyProtection="1">
      <alignment vertical="center" wrapText="1"/>
      <protection locked="0"/>
    </xf>
    <xf numFmtId="3" fontId="20" fillId="0" borderId="64" xfId="0" applyNumberFormat="1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Fill="1" applyBorder="1" applyAlignment="1" applyProtection="1">
      <alignment vertical="center" wrapText="1"/>
      <protection locked="0"/>
    </xf>
    <xf numFmtId="3" fontId="20" fillId="17" borderId="45" xfId="0" applyNumberFormat="1" applyFont="1" applyFill="1" applyBorder="1" applyAlignment="1" applyProtection="1">
      <alignment vertical="center" wrapText="1"/>
      <protection locked="0"/>
    </xf>
    <xf numFmtId="3" fontId="20" fillId="17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" xfId="3" applyNumberFormat="1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/>
    <xf numFmtId="0" fontId="2" fillId="3" borderId="6" xfId="0" applyFont="1" applyFill="1" applyBorder="1" applyAlignment="1"/>
    <xf numFmtId="3" fontId="2" fillId="4" borderId="3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8" fillId="6" borderId="36" xfId="0" applyFont="1" applyFill="1" applyBorder="1" applyAlignment="1" applyProtection="1">
      <alignment horizontal="center" vertical="center" wrapText="1" shrinkToFit="1"/>
    </xf>
    <xf numFmtId="0" fontId="8" fillId="6" borderId="37" xfId="0" applyFont="1" applyFill="1" applyBorder="1" applyAlignment="1" applyProtection="1">
      <alignment horizontal="center" vertical="center" wrapText="1" shrinkToFit="1"/>
    </xf>
    <xf numFmtId="3" fontId="8" fillId="6" borderId="41" xfId="0" applyNumberFormat="1" applyFont="1" applyFill="1" applyBorder="1" applyAlignment="1" applyProtection="1">
      <alignment horizontal="center" vertical="center" wrapText="1" shrinkToFit="1"/>
    </xf>
    <xf numFmtId="0" fontId="0" fillId="0" borderId="15" xfId="0" applyBorder="1" applyAlignment="1">
      <alignment horizontal="center"/>
    </xf>
    <xf numFmtId="49" fontId="12" fillId="5" borderId="47" xfId="0" applyNumberFormat="1" applyFont="1" applyFill="1" applyBorder="1" applyAlignment="1" applyProtection="1">
      <alignment horizontal="center" vertical="center" wrapText="1" shrinkToFit="1"/>
    </xf>
    <xf numFmtId="0" fontId="14" fillId="6" borderId="54" xfId="0" applyFont="1" applyFill="1" applyBorder="1" applyAlignment="1">
      <alignment horizontal="center" vertical="center"/>
    </xf>
    <xf numFmtId="49" fontId="10" fillId="5" borderId="47" xfId="0" applyNumberFormat="1" applyFont="1" applyFill="1" applyBorder="1" applyAlignment="1" applyProtection="1">
      <alignment horizontal="center" vertical="center" wrapText="1" shrinkToFit="1"/>
    </xf>
    <xf numFmtId="0" fontId="18" fillId="16" borderId="47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8" fillId="6" borderId="47" xfId="0" applyFont="1" applyFill="1" applyBorder="1" applyAlignment="1" applyProtection="1">
      <alignment horizontal="center" vertical="center" wrapText="1" shrinkToFit="1"/>
    </xf>
    <xf numFmtId="0" fontId="8" fillId="6" borderId="48" xfId="0" applyFont="1" applyFill="1" applyBorder="1" applyAlignment="1" applyProtection="1">
      <alignment horizontal="center" vertical="center" wrapText="1" shrinkToFit="1"/>
    </xf>
    <xf numFmtId="0" fontId="19" fillId="20" borderId="2" xfId="0" applyFont="1" applyFill="1" applyBorder="1" applyAlignment="1">
      <alignment horizontal="center" vertical="center"/>
    </xf>
    <xf numFmtId="3" fontId="8" fillId="6" borderId="78" xfId="0" applyNumberFormat="1" applyFont="1" applyFill="1" applyBorder="1" applyAlignment="1" applyProtection="1">
      <alignment horizontal="center" vertical="center" wrapText="1" shrinkToFit="1"/>
    </xf>
    <xf numFmtId="3" fontId="0" fillId="0" borderId="22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0" fontId="18" fillId="8" borderId="40" xfId="0" applyFont="1" applyFill="1" applyBorder="1" applyAlignment="1" applyProtection="1">
      <alignment horizontal="center" vertical="center" wrapText="1"/>
      <protection locked="0"/>
    </xf>
    <xf numFmtId="0" fontId="17" fillId="7" borderId="2" xfId="0" applyFont="1" applyFill="1" applyBorder="1" applyAlignment="1">
      <alignment horizontal="center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vertical="center" wrapText="1"/>
      <protection locked="0"/>
    </xf>
    <xf numFmtId="3" fontId="18" fillId="16" borderId="47" xfId="0" applyNumberFormat="1" applyFont="1" applyFill="1" applyBorder="1" applyAlignment="1" applyProtection="1">
      <alignment horizontal="center" vertical="center" wrapText="1"/>
      <protection locked="0"/>
    </xf>
    <xf numFmtId="0" fontId="18" fillId="16" borderId="51" xfId="0" applyFont="1" applyFill="1" applyBorder="1" applyAlignment="1" applyProtection="1">
      <alignment horizontal="center" vertical="center" wrapText="1"/>
      <protection locked="0"/>
    </xf>
    <xf numFmtId="0" fontId="18" fillId="8" borderId="6" xfId="0" applyFont="1" applyFill="1" applyBorder="1" applyAlignment="1" applyProtection="1">
      <alignment horizontal="center" vertical="center" wrapText="1"/>
      <protection locked="0"/>
    </xf>
    <xf numFmtId="0" fontId="18" fillId="8" borderId="5" xfId="0" applyFont="1" applyFill="1" applyBorder="1" applyAlignment="1" applyProtection="1">
      <alignment horizontal="center" vertical="center" wrapText="1"/>
      <protection locked="0"/>
    </xf>
    <xf numFmtId="0" fontId="18" fillId="8" borderId="77" xfId="0" applyFont="1" applyFill="1" applyBorder="1" applyAlignment="1" applyProtection="1">
      <alignment horizontal="center" vertical="center" wrapText="1"/>
      <protection locked="0"/>
    </xf>
    <xf numFmtId="0" fontId="18" fillId="8" borderId="4" xfId="0" applyFont="1" applyFill="1" applyBorder="1" applyAlignment="1" applyProtection="1">
      <alignment horizontal="center" vertical="center" wrapText="1"/>
      <protection locked="0"/>
    </xf>
    <xf numFmtId="0" fontId="18" fillId="8" borderId="3" xfId="0" applyFont="1" applyFill="1" applyBorder="1" applyAlignment="1" applyProtection="1">
      <alignment horizontal="center" vertical="center" wrapText="1"/>
      <protection locked="0"/>
    </xf>
    <xf numFmtId="0" fontId="18" fillId="8" borderId="7" xfId="0" applyFont="1" applyFill="1" applyBorder="1" applyAlignment="1" applyProtection="1">
      <alignment horizontal="center" vertical="center" wrapText="1"/>
      <protection locked="0"/>
    </xf>
    <xf numFmtId="0" fontId="18" fillId="8" borderId="39" xfId="0" applyFont="1" applyFill="1" applyBorder="1" applyAlignment="1" applyProtection="1">
      <alignment horizontal="center" vertical="center" wrapText="1"/>
      <protection locked="0"/>
    </xf>
    <xf numFmtId="0" fontId="17" fillId="9" borderId="47" xfId="0" applyFont="1" applyFill="1" applyBorder="1" applyAlignment="1">
      <alignment horizontal="left"/>
    </xf>
    <xf numFmtId="0" fontId="27" fillId="5" borderId="1" xfId="0" applyFont="1" applyFill="1" applyBorder="1" applyAlignment="1">
      <alignment horizontal="center"/>
    </xf>
    <xf numFmtId="0" fontId="28" fillId="6" borderId="2" xfId="0" applyFont="1" applyFill="1" applyBorder="1" applyAlignment="1" applyProtection="1">
      <alignment horizontal="center" vertical="center"/>
    </xf>
    <xf numFmtId="0" fontId="8" fillId="6" borderId="78" xfId="0" applyFont="1" applyFill="1" applyBorder="1" applyAlignment="1" applyProtection="1">
      <alignment horizontal="center" vertical="center" wrapText="1" shrinkToFit="1"/>
    </xf>
    <xf numFmtId="0" fontId="0" fillId="0" borderId="22" xfId="0" applyBorder="1" applyAlignment="1">
      <alignment horizontal="center"/>
    </xf>
    <xf numFmtId="0" fontId="0" fillId="0" borderId="75" xfId="0" applyBorder="1" applyAlignment="1">
      <alignment horizontal="center"/>
    </xf>
    <xf numFmtId="49" fontId="10" fillId="10" borderId="47" xfId="0" applyNumberFormat="1" applyFont="1" applyFill="1" applyBorder="1" applyAlignment="1" applyProtection="1">
      <alignment horizontal="center" vertical="center" wrapText="1" shrinkToFit="1"/>
    </xf>
    <xf numFmtId="49" fontId="10" fillId="10" borderId="47" xfId="0" applyNumberFormat="1" applyFont="1" applyFill="1" applyBorder="1" applyAlignment="1" applyProtection="1">
      <alignment horizontal="left" vertical="center" wrapText="1" shrinkToFit="1"/>
    </xf>
    <xf numFmtId="0" fontId="14" fillId="9" borderId="2" xfId="0" applyFont="1" applyFill="1" applyBorder="1" applyAlignment="1">
      <alignment horizontal="left"/>
    </xf>
    <xf numFmtId="0" fontId="10" fillId="10" borderId="47" xfId="0" applyFont="1" applyFill="1" applyBorder="1" applyAlignment="1">
      <alignment horizontal="center"/>
    </xf>
    <xf numFmtId="0" fontId="17" fillId="7" borderId="0" xfId="0" applyFont="1" applyFill="1" applyBorder="1" applyAlignment="1">
      <alignment horizontal="center"/>
    </xf>
    <xf numFmtId="0" fontId="21" fillId="6" borderId="54" xfId="0" applyFont="1" applyFill="1" applyBorder="1" applyAlignment="1" applyProtection="1">
      <alignment horizontal="center" vertical="center" wrapText="1" shrinkToFit="1"/>
    </xf>
    <xf numFmtId="0" fontId="21" fillId="6" borderId="56" xfId="0" applyFont="1" applyFill="1" applyBorder="1" applyAlignment="1" applyProtection="1">
      <alignment horizontal="center" vertical="center" wrapText="1" shrinkToFit="1"/>
    </xf>
    <xf numFmtId="0" fontId="5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22" fillId="0" borderId="29" xfId="0" applyNumberFormat="1" applyFont="1" applyBorder="1" applyAlignment="1" applyProtection="1">
      <alignment horizontal="left" vertical="center" wrapText="1"/>
      <protection locked="0"/>
    </xf>
    <xf numFmtId="0" fontId="21" fillId="6" borderId="58" xfId="0" applyFont="1" applyFill="1" applyBorder="1" applyAlignment="1" applyProtection="1">
      <alignment horizontal="center" vertical="center" wrapText="1" shrinkToFit="1"/>
    </xf>
    <xf numFmtId="0" fontId="0" fillId="0" borderId="72" xfId="0" applyBorder="1" applyAlignment="1">
      <alignment horizontal="center" vertical="center"/>
    </xf>
    <xf numFmtId="49" fontId="22" fillId="22" borderId="16" xfId="0" applyNumberFormat="1" applyFont="1" applyFill="1" applyBorder="1" applyAlignment="1" applyProtection="1">
      <alignment horizontal="center" vertical="center" wrapText="1"/>
      <protection locked="0"/>
    </xf>
    <xf numFmtId="49" fontId="22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21" fillId="6" borderId="59" xfId="0" applyFont="1" applyFill="1" applyBorder="1" applyAlignment="1" applyProtection="1">
      <alignment horizontal="center" vertical="center" wrapText="1" shrinkToFit="1"/>
    </xf>
    <xf numFmtId="0" fontId="21" fillId="6" borderId="60" xfId="0" applyFont="1" applyFill="1" applyBorder="1" applyAlignment="1" applyProtection="1">
      <alignment horizontal="center" vertical="center" wrapText="1" shrinkToFit="1"/>
    </xf>
    <xf numFmtId="0" fontId="21" fillId="6" borderId="51" xfId="0" applyFont="1" applyFill="1" applyBorder="1" applyAlignment="1" applyProtection="1">
      <alignment horizontal="center" vertical="center" wrapText="1" shrinkToFit="1"/>
    </xf>
    <xf numFmtId="0" fontId="21" fillId="6" borderId="52" xfId="0" applyFont="1" applyFill="1" applyBorder="1" applyAlignment="1" applyProtection="1">
      <alignment horizontal="center" vertical="center" wrapText="1" shrinkToFit="1"/>
    </xf>
    <xf numFmtId="16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8" borderId="47" xfId="0" applyFont="1" applyFill="1" applyBorder="1" applyAlignment="1" applyProtection="1">
      <alignment horizontal="center" vertical="center" wrapText="1"/>
      <protection locked="0"/>
    </xf>
    <xf numFmtId="0" fontId="18" fillId="8" borderId="48" xfId="0" applyFont="1" applyFill="1" applyBorder="1" applyAlignment="1" applyProtection="1">
      <alignment horizontal="center" vertical="center" wrapText="1"/>
      <protection locked="0"/>
    </xf>
    <xf numFmtId="0" fontId="18" fillId="8" borderId="8" xfId="0" applyFont="1" applyFill="1" applyBorder="1" applyAlignment="1" applyProtection="1">
      <alignment horizontal="center" vertical="center" wrapText="1"/>
      <protection locked="0"/>
    </xf>
    <xf numFmtId="0" fontId="18" fillId="11" borderId="47" xfId="0" applyFont="1" applyFill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169" fontId="22" fillId="0" borderId="0" xfId="0" applyNumberFormat="1" applyFont="1" applyBorder="1" applyAlignment="1" applyProtection="1">
      <alignment horizontal="center" vertical="center" wrapText="1"/>
      <protection locked="0"/>
    </xf>
    <xf numFmtId="0" fontId="21" fillId="6" borderId="47" xfId="0" applyFont="1" applyFill="1" applyBorder="1" applyAlignment="1" applyProtection="1">
      <alignment horizontal="center" vertical="center" wrapText="1" shrinkToFit="1"/>
    </xf>
    <xf numFmtId="0" fontId="21" fillId="6" borderId="48" xfId="0" applyFont="1" applyFill="1" applyBorder="1" applyAlignment="1" applyProtection="1">
      <alignment horizontal="center" vertical="center" wrapText="1" shrinkToFi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22" fillId="0" borderId="34" xfId="0" applyFont="1" applyFill="1" applyBorder="1" applyAlignment="1" applyProtection="1">
      <alignment vertical="center" wrapText="1"/>
      <protection locked="0"/>
    </xf>
    <xf numFmtId="0" fontId="22" fillId="0" borderId="30" xfId="0" applyFont="1" applyFill="1" applyBorder="1" applyAlignment="1" applyProtection="1">
      <alignment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49" fontId="22" fillId="0" borderId="59" xfId="0" applyNumberFormat="1" applyFont="1" applyBorder="1" applyAlignment="1" applyProtection="1">
      <alignment horizontal="left" vertical="center" wrapText="1"/>
      <protection locked="0"/>
    </xf>
    <xf numFmtId="49" fontId="22" fillId="0" borderId="44" xfId="0" applyNumberFormat="1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18" fillId="13" borderId="23" xfId="0" applyFont="1" applyFill="1" applyBorder="1" applyAlignment="1" applyProtection="1">
      <alignment horizontal="center" vertical="center" wrapText="1"/>
      <protection locked="0"/>
    </xf>
    <xf numFmtId="0" fontId="18" fillId="4" borderId="39" xfId="0" applyFont="1" applyFill="1" applyBorder="1" applyAlignment="1" applyProtection="1">
      <alignment horizontal="center" vertical="center" wrapText="1"/>
      <protection locked="0"/>
    </xf>
    <xf numFmtId="0" fontId="22" fillId="4" borderId="64" xfId="0" applyFont="1" applyFill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17" borderId="30" xfId="0" applyFont="1" applyFill="1" applyBorder="1" applyAlignment="1" applyProtection="1">
      <alignment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  <protection locked="0"/>
    </xf>
    <xf numFmtId="0" fontId="22" fillId="0" borderId="24" xfId="0" applyFont="1" applyFill="1" applyBorder="1" applyAlignment="1" applyProtection="1">
      <alignment vertical="center" wrapText="1"/>
      <protection locked="0"/>
    </xf>
    <xf numFmtId="0" fontId="22" fillId="0" borderId="9" xfId="0" applyFont="1" applyFill="1" applyBorder="1" applyAlignment="1" applyProtection="1">
      <alignment vertical="center" wrapText="1"/>
      <protection locked="0"/>
    </xf>
    <xf numFmtId="3" fontId="50" fillId="0" borderId="31" xfId="0" applyNumberFormat="1" applyFont="1" applyFill="1" applyBorder="1" applyAlignment="1" applyProtection="1">
      <alignment vertical="center" wrapText="1"/>
      <protection locked="0"/>
    </xf>
    <xf numFmtId="3" fontId="50" fillId="0" borderId="0" xfId="0" applyNumberFormat="1" applyFont="1" applyFill="1" applyBorder="1" applyAlignment="1" applyProtection="1">
      <alignment vertical="center" wrapText="1"/>
      <protection locked="0"/>
    </xf>
    <xf numFmtId="0" fontId="51" fillId="0" borderId="0" xfId="0" applyFont="1" applyAlignment="1"/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21" fillId="12" borderId="51" xfId="0" applyFont="1" applyFill="1" applyBorder="1" applyAlignment="1" applyProtection="1">
      <alignment horizontal="center" vertical="center" wrapText="1" shrinkToFit="1"/>
    </xf>
    <xf numFmtId="0" fontId="21" fillId="12" borderId="54" xfId="0" applyFont="1" applyFill="1" applyBorder="1" applyAlignment="1" applyProtection="1">
      <alignment horizontal="center" vertical="center" wrapText="1" shrinkToFit="1"/>
    </xf>
    <xf numFmtId="0" fontId="21" fillId="12" borderId="52" xfId="0" applyFont="1" applyFill="1" applyBorder="1" applyAlignment="1" applyProtection="1">
      <alignment horizontal="center" vertical="center" wrapText="1" shrinkToFit="1"/>
    </xf>
    <xf numFmtId="0" fontId="21" fillId="12" borderId="56" xfId="0" applyFont="1" applyFill="1" applyBorder="1" applyAlignment="1" applyProtection="1">
      <alignment horizontal="center" vertical="center" wrapText="1" shrinkToFit="1"/>
    </xf>
    <xf numFmtId="0" fontId="21" fillId="12" borderId="26" xfId="0" applyFont="1" applyFill="1" applyBorder="1" applyAlignment="1" applyProtection="1">
      <alignment horizontal="center" vertical="center" wrapText="1"/>
    </xf>
    <xf numFmtId="0" fontId="21" fillId="12" borderId="37" xfId="0" applyFont="1" applyFill="1" applyBorder="1" applyAlignment="1" applyProtection="1">
      <alignment horizontal="center" vertical="center" wrapText="1" shrinkToFit="1"/>
    </xf>
    <xf numFmtId="0" fontId="22" fillId="0" borderId="58" xfId="0" applyFont="1" applyFill="1" applyBorder="1" applyAlignment="1" applyProtection="1">
      <alignment vertical="center" wrapText="1"/>
      <protection locked="0"/>
    </xf>
    <xf numFmtId="0" fontId="22" fillId="0" borderId="72" xfId="0" applyFont="1" applyFill="1" applyBorder="1" applyAlignment="1" applyProtection="1">
      <alignment vertical="center" wrapText="1"/>
      <protection locked="0"/>
    </xf>
    <xf numFmtId="0" fontId="0" fillId="0" borderId="71" xfId="0" applyFill="1" applyBorder="1" applyAlignment="1">
      <alignment vertical="center" wrapText="1"/>
    </xf>
    <xf numFmtId="49" fontId="20" fillId="0" borderId="59" xfId="0" applyNumberFormat="1" applyFont="1" applyBorder="1" applyAlignment="1">
      <alignment vertical="center" wrapText="1"/>
    </xf>
    <xf numFmtId="0" fontId="20" fillId="0" borderId="59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18" fillId="13" borderId="4" xfId="0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 wrapText="1" shrinkToFit="1"/>
    </xf>
    <xf numFmtId="0" fontId="21" fillId="12" borderId="60" xfId="0" applyFont="1" applyFill="1" applyBorder="1" applyAlignment="1" applyProtection="1">
      <alignment horizontal="center" vertical="center" wrapText="1" shrinkToFit="1"/>
    </xf>
    <xf numFmtId="0" fontId="46" fillId="2" borderId="0" xfId="0" applyFont="1" applyFill="1" applyAlignment="1">
      <alignment horizontal="right"/>
    </xf>
    <xf numFmtId="0" fontId="35" fillId="7" borderId="0" xfId="0" applyFont="1" applyFill="1" applyBorder="1" applyAlignment="1">
      <alignment horizontal="center"/>
    </xf>
    <xf numFmtId="0" fontId="21" fillId="12" borderId="47" xfId="0" applyFont="1" applyFill="1" applyBorder="1" applyAlignment="1" applyProtection="1">
      <alignment horizontal="center" vertical="center" wrapText="1" shrinkToFit="1"/>
    </xf>
    <xf numFmtId="0" fontId="21" fillId="12" borderId="48" xfId="0" applyFont="1" applyFill="1" applyBorder="1" applyAlignment="1" applyProtection="1">
      <alignment horizontal="center" vertical="center" wrapText="1" shrinkToFit="1"/>
    </xf>
    <xf numFmtId="0" fontId="18" fillId="4" borderId="47" xfId="0" applyFont="1" applyFill="1" applyBorder="1" applyAlignment="1" applyProtection="1">
      <alignment vertical="center" wrapText="1"/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49" fontId="22" fillId="0" borderId="44" xfId="0" applyNumberFormat="1" applyFont="1" applyBorder="1" applyAlignment="1" applyProtection="1">
      <alignment vertical="center" wrapText="1"/>
      <protection locked="0"/>
    </xf>
    <xf numFmtId="49" fontId="22" fillId="0" borderId="29" xfId="0" applyNumberFormat="1" applyFont="1" applyBorder="1" applyAlignment="1" applyProtection="1">
      <alignment vertical="center" wrapText="1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0" fontId="22" fillId="17" borderId="41" xfId="0" applyFont="1" applyFill="1" applyBorder="1" applyAlignment="1" applyProtection="1">
      <alignment vertical="center" wrapText="1"/>
      <protection locked="0"/>
    </xf>
    <xf numFmtId="0" fontId="0" fillId="17" borderId="15" xfId="0" applyFill="1" applyBorder="1" applyAlignment="1">
      <alignment vertical="center" wrapText="1"/>
    </xf>
    <xf numFmtId="0" fontId="0" fillId="17" borderId="64" xfId="0" applyFill="1" applyBorder="1" applyAlignment="1">
      <alignment vertical="center" wrapText="1"/>
    </xf>
    <xf numFmtId="49" fontId="22" fillId="0" borderId="30" xfId="0" applyNumberFormat="1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22" fillId="0" borderId="35" xfId="0" applyFont="1" applyBorder="1" applyAlignment="1" applyProtection="1">
      <alignment horizontal="left" vertical="center" wrapText="1"/>
      <protection locked="0"/>
    </xf>
    <xf numFmtId="0" fontId="22" fillId="0" borderId="60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vertical="center" wrapText="1"/>
      <protection locked="0"/>
    </xf>
    <xf numFmtId="49" fontId="22" fillId="17" borderId="15" xfId="0" applyNumberFormat="1" applyFont="1" applyFill="1" applyBorder="1" applyAlignment="1" applyProtection="1">
      <alignment horizontal="left" vertical="center" wrapText="1"/>
      <protection locked="0"/>
    </xf>
    <xf numFmtId="49" fontId="22" fillId="17" borderId="64" xfId="0" applyNumberFormat="1" applyFont="1" applyFill="1" applyBorder="1" applyAlignment="1" applyProtection="1">
      <alignment horizontal="left" vertical="center" wrapText="1"/>
      <protection locked="0"/>
    </xf>
    <xf numFmtId="0" fontId="18" fillId="13" borderId="6" xfId="0" applyFont="1" applyFill="1" applyBorder="1" applyAlignment="1" applyProtection="1">
      <alignment horizontal="center" vertical="center" wrapText="1"/>
      <protection locked="0"/>
    </xf>
    <xf numFmtId="3" fontId="22" fillId="0" borderId="30" xfId="0" applyNumberFormat="1" applyFont="1" applyBorder="1" applyAlignment="1" applyProtection="1">
      <alignment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21" fillId="12" borderId="35" xfId="0" applyFont="1" applyFill="1" applyBorder="1" applyAlignment="1" applyProtection="1">
      <alignment horizontal="center" vertical="center" wrapText="1" shrinkToFit="1"/>
    </xf>
    <xf numFmtId="0" fontId="22" fillId="0" borderId="67" xfId="0" applyFont="1" applyFill="1" applyBorder="1" applyAlignment="1" applyProtection="1">
      <alignment vertical="center" wrapText="1"/>
      <protection locked="0"/>
    </xf>
    <xf numFmtId="0" fontId="22" fillId="0" borderId="54" xfId="0" applyFont="1" applyBorder="1" applyAlignment="1" applyProtection="1">
      <alignment vertical="center" wrapText="1"/>
      <protection locked="0"/>
    </xf>
    <xf numFmtId="0" fontId="22" fillId="0" borderId="59" xfId="0" applyFont="1" applyBorder="1" applyAlignment="1" applyProtection="1">
      <alignment vertical="center" wrapText="1"/>
      <protection locked="0"/>
    </xf>
    <xf numFmtId="3" fontId="20" fillId="0" borderId="30" xfId="0" applyNumberFormat="1" applyFont="1" applyBorder="1" applyAlignment="1" applyProtection="1">
      <alignment vertical="center" wrapText="1"/>
      <protection locked="0"/>
    </xf>
    <xf numFmtId="0" fontId="20" fillId="17" borderId="35" xfId="0" applyFont="1" applyFill="1" applyBorder="1" applyAlignment="1" applyProtection="1">
      <alignment horizontal="left" vertical="center" wrapText="1"/>
      <protection locked="0"/>
    </xf>
    <xf numFmtId="0" fontId="20" fillId="17" borderId="60" xfId="0" applyFont="1" applyFill="1" applyBorder="1" applyAlignment="1" applyProtection="1">
      <alignment horizontal="left" vertical="center" wrapText="1"/>
      <protection locked="0"/>
    </xf>
    <xf numFmtId="0" fontId="20" fillId="17" borderId="45" xfId="0" applyFont="1" applyFill="1" applyBorder="1" applyAlignment="1" applyProtection="1">
      <alignment horizontal="left" vertical="center" wrapText="1"/>
      <protection locked="0"/>
    </xf>
    <xf numFmtId="3" fontId="22" fillId="0" borderId="45" xfId="0" applyNumberFormat="1" applyFont="1" applyBorder="1" applyAlignment="1" applyProtection="1">
      <alignment vertical="center" wrapText="1"/>
      <protection locked="0"/>
    </xf>
    <xf numFmtId="0" fontId="20" fillId="0" borderId="35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3" fontId="22" fillId="0" borderId="30" xfId="0" applyNumberFormat="1" applyFont="1" applyFill="1" applyBorder="1" applyAlignment="1" applyProtection="1">
      <alignment vertical="center" wrapText="1"/>
      <protection locked="0"/>
    </xf>
    <xf numFmtId="3" fontId="22" fillId="0" borderId="35" xfId="0" applyNumberFormat="1" applyFont="1" applyFill="1" applyBorder="1" applyAlignment="1" applyProtection="1">
      <alignment vertical="center" wrapText="1"/>
      <protection locked="0"/>
    </xf>
    <xf numFmtId="3" fontId="22" fillId="0" borderId="41" xfId="0" applyNumberFormat="1" applyFont="1" applyBorder="1" applyAlignment="1" applyProtection="1">
      <alignment vertical="center" wrapText="1"/>
      <protection locked="0"/>
    </xf>
    <xf numFmtId="3" fontId="22" fillId="0" borderId="15" xfId="0" applyNumberFormat="1" applyFont="1" applyBorder="1" applyAlignment="1" applyProtection="1">
      <alignment vertical="center" wrapText="1"/>
      <protection locked="0"/>
    </xf>
    <xf numFmtId="3" fontId="22" fillId="0" borderId="64" xfId="0" applyNumberFormat="1" applyFont="1" applyBorder="1" applyAlignment="1" applyProtection="1">
      <alignment vertical="center" wrapText="1"/>
      <protection locked="0"/>
    </xf>
    <xf numFmtId="3" fontId="24" fillId="0" borderId="25" xfId="0" applyNumberFormat="1" applyFont="1" applyFill="1" applyBorder="1" applyAlignment="1" applyProtection="1">
      <alignment vertical="center" wrapText="1"/>
      <protection locked="0"/>
    </xf>
    <xf numFmtId="3" fontId="24" fillId="0" borderId="45" xfId="0" applyNumberFormat="1" applyFont="1" applyFill="1" applyBorder="1" applyAlignment="1" applyProtection="1">
      <alignment vertical="center" wrapText="1"/>
      <protection locked="0"/>
    </xf>
    <xf numFmtId="0" fontId="22" fillId="0" borderId="71" xfId="0" applyFont="1" applyBorder="1" applyAlignment="1" applyProtection="1">
      <alignment vertical="center" wrapText="1"/>
      <protection locked="0"/>
    </xf>
    <xf numFmtId="0" fontId="26" fillId="0" borderId="0" xfId="0" applyFont="1" applyBorder="1" applyAlignment="1"/>
    <xf numFmtId="0" fontId="21" fillId="12" borderId="30" xfId="0" applyFont="1" applyFill="1" applyBorder="1" applyAlignment="1" applyProtection="1">
      <alignment horizontal="center" vertical="center" wrapText="1" shrinkToFit="1"/>
    </xf>
    <xf numFmtId="49" fontId="22" fillId="0" borderId="51" xfId="0" applyNumberFormat="1" applyFont="1" applyBorder="1" applyAlignment="1" applyProtection="1">
      <alignment horizontal="left" vertical="center" wrapText="1"/>
      <protection locked="0"/>
    </xf>
    <xf numFmtId="3" fontId="24" fillId="0" borderId="52" xfId="0" applyNumberFormat="1" applyFont="1" applyFill="1" applyBorder="1" applyAlignment="1" applyProtection="1">
      <alignment vertical="center" wrapText="1"/>
      <protection locked="0"/>
    </xf>
    <xf numFmtId="0" fontId="17" fillId="12" borderId="4" xfId="0" applyFont="1" applyFill="1" applyBorder="1" applyAlignment="1">
      <alignment horizontal="left"/>
    </xf>
    <xf numFmtId="0" fontId="18" fillId="13" borderId="2" xfId="0" applyFont="1" applyFill="1" applyBorder="1" applyAlignment="1" applyProtection="1">
      <alignment horizontal="center" vertical="center" wrapText="1"/>
      <protection locked="0"/>
    </xf>
    <xf numFmtId="3" fontId="22" fillId="17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9" xfId="0" applyNumberFormat="1" applyFont="1" applyFill="1" applyBorder="1" applyAlignment="1" applyProtection="1">
      <alignment horizontal="center" vertical="center" wrapText="1"/>
      <protection locked="0"/>
    </xf>
    <xf numFmtId="3" fontId="22" fillId="17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45" xfId="0" applyFont="1" applyFill="1" applyBorder="1" applyAlignment="1" applyProtection="1">
      <alignment vertical="center" wrapText="1"/>
      <protection locked="0"/>
    </xf>
    <xf numFmtId="0" fontId="22" fillId="0" borderId="41" xfId="0" applyFont="1" applyFill="1" applyBorder="1" applyAlignment="1" applyProtection="1">
      <alignment vertical="center" wrapText="1"/>
      <protection locked="0"/>
    </xf>
    <xf numFmtId="0" fontId="22" fillId="0" borderId="15" xfId="0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>
      <alignment vertical="center" wrapText="1"/>
    </xf>
    <xf numFmtId="0" fontId="21" fillId="12" borderId="24" xfId="0" applyFont="1" applyFill="1" applyBorder="1" applyAlignment="1" applyProtection="1">
      <alignment horizontal="center" vertical="center" wrapText="1" shrinkToFit="1"/>
    </xf>
    <xf numFmtId="0" fontId="21" fillId="12" borderId="25" xfId="0" applyFont="1" applyFill="1" applyBorder="1" applyAlignment="1" applyProtection="1">
      <alignment horizontal="center" vertical="center" wrapText="1" shrinkToFit="1"/>
    </xf>
    <xf numFmtId="49" fontId="25" fillId="0" borderId="45" xfId="0" applyNumberFormat="1" applyFont="1" applyFill="1" applyBorder="1" applyAlignment="1" applyProtection="1">
      <alignment horizontal="center" vertical="center" wrapText="1" shrinkToFit="1"/>
    </xf>
    <xf numFmtId="3" fontId="22" fillId="0" borderId="21" xfId="0" applyNumberFormat="1" applyFont="1" applyFill="1" applyBorder="1" applyAlignment="1" applyProtection="1">
      <alignment horizontal="right" vertical="center" wrapText="1"/>
      <protection locked="0"/>
    </xf>
    <xf numFmtId="3" fontId="22" fillId="0" borderId="28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47" xfId="0" applyFont="1" applyFill="1" applyBorder="1" applyAlignment="1" applyProtection="1">
      <alignment horizontal="center" vertical="center" wrapText="1"/>
      <protection locked="0"/>
    </xf>
    <xf numFmtId="0" fontId="18" fillId="4" borderId="48" xfId="0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0" fontId="17" fillId="15" borderId="0" xfId="0" applyFont="1" applyFill="1" applyBorder="1" applyAlignment="1">
      <alignment horizontal="center"/>
    </xf>
    <xf numFmtId="0" fontId="17" fillId="13" borderId="23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7" fillId="13" borderId="73" xfId="0" applyFont="1" applyFill="1" applyBorder="1" applyAlignment="1">
      <alignment horizontal="center"/>
    </xf>
    <xf numFmtId="0" fontId="17" fillId="13" borderId="71" xfId="0" applyFont="1" applyFill="1" applyBorder="1" applyAlignment="1">
      <alignment horizontal="center"/>
    </xf>
    <xf numFmtId="0" fontId="18" fillId="4" borderId="73" xfId="0" applyFont="1" applyFill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8" fillId="4" borderId="19" xfId="0" applyFont="1" applyFill="1" applyBorder="1" applyAlignment="1" applyProtection="1">
      <alignment horizontal="left" vertical="center" wrapText="1"/>
      <protection locked="0"/>
    </xf>
    <xf numFmtId="0" fontId="17" fillId="13" borderId="2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0" fontId="53" fillId="16" borderId="47" xfId="0" applyFont="1" applyFill="1" applyBorder="1" applyAlignment="1">
      <alignment horizontal="center"/>
    </xf>
    <xf numFmtId="0" fontId="0" fillId="0" borderId="48" xfId="0" applyBorder="1"/>
    <xf numFmtId="0" fontId="0" fillId="0" borderId="8" xfId="0" applyBorder="1"/>
    <xf numFmtId="0" fontId="53" fillId="16" borderId="47" xfId="0" applyFont="1" applyFill="1" applyBorder="1"/>
    <xf numFmtId="0" fontId="0" fillId="16" borderId="8" xfId="0" applyFill="1" applyBorder="1"/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  <pageSetUpPr fitToPage="1"/>
  </sheetPr>
  <dimension ref="A1:R45"/>
  <sheetViews>
    <sheetView zoomScale="91" zoomScaleNormal="91" workbookViewId="0">
      <selection activeCell="N23" sqref="N23"/>
    </sheetView>
  </sheetViews>
  <sheetFormatPr defaultRowHeight="12.75" x14ac:dyDescent="0.2"/>
  <cols>
    <col min="1" max="1" width="7.140625" customWidth="1"/>
    <col min="2" max="2" width="33.42578125" customWidth="1"/>
    <col min="3" max="3" width="13.140625" customWidth="1"/>
    <col min="4" max="4" width="12.7109375" bestFit="1" customWidth="1"/>
    <col min="5" max="5" width="9" customWidth="1"/>
    <col min="6" max="6" width="13.7109375" customWidth="1"/>
    <col min="7" max="7" width="9.85546875" customWidth="1"/>
    <col min="8" max="8" width="30.28515625" customWidth="1"/>
    <col min="9" max="10" width="12.42578125" customWidth="1"/>
    <col min="11" max="11" width="8.7109375" customWidth="1"/>
    <col min="12" max="12" width="13.28515625" customWidth="1"/>
    <col min="13" max="1025" width="8.42578125" customWidth="1"/>
  </cols>
  <sheetData>
    <row r="1" spans="1:13" ht="22.5" x14ac:dyDescent="0.6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</row>
    <row r="2" spans="1:13" ht="22.5" x14ac:dyDescent="0.6">
      <c r="A2" s="1"/>
      <c r="B2" s="1029" t="s">
        <v>646</v>
      </c>
      <c r="C2" s="1029"/>
      <c r="D2" s="1029"/>
      <c r="E2" s="1029"/>
      <c r="F2" s="1029"/>
      <c r="G2" s="1029"/>
      <c r="H2" s="1029"/>
      <c r="I2" s="1029"/>
      <c r="J2" s="1029"/>
      <c r="K2" s="1029"/>
      <c r="L2" s="1029"/>
      <c r="M2" s="1"/>
    </row>
    <row r="3" spans="1:13" ht="22.5" x14ac:dyDescent="0.6">
      <c r="A3" s="1"/>
      <c r="B3" s="1029" t="s">
        <v>393</v>
      </c>
      <c r="C3" s="1029"/>
      <c r="D3" s="1029"/>
      <c r="E3" s="1029"/>
      <c r="F3" s="1029"/>
      <c r="G3" s="1029"/>
      <c r="H3" s="1029"/>
      <c r="I3" s="1029"/>
      <c r="J3" s="1029"/>
      <c r="K3" s="1029"/>
      <c r="L3" s="1029"/>
      <c r="M3" s="1"/>
    </row>
    <row r="4" spans="1:13" ht="22.5" x14ac:dyDescent="0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2.5" x14ac:dyDescent="0.6">
      <c r="A5" s="1030" t="s">
        <v>0</v>
      </c>
      <c r="B5" s="1030"/>
      <c r="C5" s="1030"/>
      <c r="D5" s="1030"/>
      <c r="E5" s="1030"/>
      <c r="F5" s="1030"/>
      <c r="G5" s="1030"/>
      <c r="H5" s="1030"/>
      <c r="I5" s="1030"/>
      <c r="J5" s="1030"/>
      <c r="K5" s="1030"/>
      <c r="L5" s="1030"/>
      <c r="M5" s="1"/>
    </row>
    <row r="6" spans="1:13" ht="23.25" thickBot="1" x14ac:dyDescent="0.6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4" t="s">
        <v>1</v>
      </c>
      <c r="M6" s="1"/>
    </row>
    <row r="7" spans="1:13" ht="23.25" thickBot="1" x14ac:dyDescent="0.65">
      <c r="A7" s="1031" t="s">
        <v>2</v>
      </c>
      <c r="B7" s="1031"/>
      <c r="C7" s="1031"/>
      <c r="D7" s="1031"/>
      <c r="E7" s="1031"/>
      <c r="F7" s="1031"/>
      <c r="G7" s="1032" t="s">
        <v>3</v>
      </c>
      <c r="H7" s="1032"/>
      <c r="I7" s="1032"/>
      <c r="J7" s="1032"/>
      <c r="K7" s="1032"/>
      <c r="L7" s="1032"/>
      <c r="M7" s="1"/>
    </row>
    <row r="8" spans="1:13" ht="39" customHeight="1" thickBot="1" x14ac:dyDescent="0.65">
      <c r="A8" s="5" t="s">
        <v>4</v>
      </c>
      <c r="B8" s="6" t="s">
        <v>5</v>
      </c>
      <c r="C8" s="7" t="s">
        <v>558</v>
      </c>
      <c r="D8" s="7" t="s">
        <v>519</v>
      </c>
      <c r="E8" s="7" t="s">
        <v>387</v>
      </c>
      <c r="F8" s="8" t="s">
        <v>647</v>
      </c>
      <c r="G8" s="9" t="s">
        <v>4</v>
      </c>
      <c r="H8" s="10" t="s">
        <v>5</v>
      </c>
      <c r="I8" s="11" t="s">
        <v>558</v>
      </c>
      <c r="J8" s="12" t="s">
        <v>519</v>
      </c>
      <c r="K8" s="12" t="s">
        <v>387</v>
      </c>
      <c r="L8" s="13" t="s">
        <v>647</v>
      </c>
      <c r="M8" s="1"/>
    </row>
    <row r="9" spans="1:13" ht="22.5" x14ac:dyDescent="0.6">
      <c r="A9" s="14" t="s">
        <v>6</v>
      </c>
      <c r="B9" s="15" t="s">
        <v>7</v>
      </c>
      <c r="C9" s="16">
        <f>'Bevételek(önkormányzat 2020'!C14</f>
        <v>190631215</v>
      </c>
      <c r="D9" s="816">
        <f>F9-C9</f>
        <v>15818798</v>
      </c>
      <c r="E9" s="802">
        <f>F9/C9</f>
        <v>1.0829811529030018</v>
      </c>
      <c r="F9" s="37">
        <f>'Bevételek(önkormányzat 2020'!F14</f>
        <v>206450013</v>
      </c>
      <c r="G9" s="17" t="s">
        <v>8</v>
      </c>
      <c r="H9" s="18" t="s">
        <v>9</v>
      </c>
      <c r="I9" s="811">
        <f>'Kiadások(önkormányzat 2020)'!C20</f>
        <v>41158660</v>
      </c>
      <c r="J9" s="811">
        <f t="shared" ref="J9:J14" si="0">SUM(L9-I9)</f>
        <v>7959160</v>
      </c>
      <c r="K9" s="322">
        <f t="shared" ref="K9:K18" si="1">L9/I9</f>
        <v>1.1933775297835254</v>
      </c>
      <c r="L9" s="20">
        <f>'Kiadások(önkormányzat 2020)'!F20</f>
        <v>49117820</v>
      </c>
      <c r="M9" s="1"/>
    </row>
    <row r="10" spans="1:13" ht="22.5" x14ac:dyDescent="0.6">
      <c r="A10" s="21" t="s">
        <v>10</v>
      </c>
      <c r="B10" s="22" t="s">
        <v>11</v>
      </c>
      <c r="C10" s="269">
        <f>'Bevételek(önkormányzat 2020'!C17</f>
        <v>11667200</v>
      </c>
      <c r="D10" s="633">
        <f>F10-C10</f>
        <v>-494800</v>
      </c>
      <c r="E10" s="801">
        <f>F10/C10</f>
        <v>0.95759051014810748</v>
      </c>
      <c r="F10" s="19">
        <f>'Bevételek(önkormányzat 2020'!F17</f>
        <v>11172400</v>
      </c>
      <c r="G10" s="23" t="s">
        <v>12</v>
      </c>
      <c r="H10" s="24" t="s">
        <v>13</v>
      </c>
      <c r="I10" s="630">
        <f>'Kiadások(önkormányzat 2020)'!C22</f>
        <v>6768000</v>
      </c>
      <c r="J10" s="630">
        <f t="shared" si="0"/>
        <v>44000</v>
      </c>
      <c r="K10" s="322">
        <f t="shared" si="1"/>
        <v>1.0065011820330969</v>
      </c>
      <c r="L10" s="20">
        <f>'Kiadások(önkormányzat 2020)'!F22</f>
        <v>6812000</v>
      </c>
      <c r="M10" s="1"/>
    </row>
    <row r="11" spans="1:13" ht="22.5" x14ac:dyDescent="0.6">
      <c r="A11" s="21" t="s">
        <v>14</v>
      </c>
      <c r="B11" s="22" t="s">
        <v>15</v>
      </c>
      <c r="C11" s="269">
        <f>'Bevételek(önkormányzat 2020'!C20</f>
        <v>0</v>
      </c>
      <c r="D11" s="630">
        <f>F11-C11</f>
        <v>0</v>
      </c>
      <c r="E11" s="801">
        <v>0</v>
      </c>
      <c r="F11" s="19">
        <f>'Bevételek(önkormányzat 2020'!F20</f>
        <v>0</v>
      </c>
      <c r="G11" s="23" t="s">
        <v>16</v>
      </c>
      <c r="H11" s="24" t="s">
        <v>17</v>
      </c>
      <c r="I11" s="630">
        <f>'Kiadások(önkormányzat 2020)'!C52</f>
        <v>64667800</v>
      </c>
      <c r="J11" s="630">
        <f t="shared" si="0"/>
        <v>2694000</v>
      </c>
      <c r="K11" s="322">
        <f t="shared" si="1"/>
        <v>1.041659063707131</v>
      </c>
      <c r="L11" s="20">
        <f>'Kiadások(önkormányzat 2020)'!F52</f>
        <v>67361800</v>
      </c>
      <c r="M11" s="1"/>
    </row>
    <row r="12" spans="1:13" ht="22.5" x14ac:dyDescent="0.6">
      <c r="A12" s="21" t="s">
        <v>18</v>
      </c>
      <c r="B12" s="22" t="s">
        <v>19</v>
      </c>
      <c r="C12" s="269">
        <f>'Bevételek(önkormányzat 2020'!C30</f>
        <v>39900000</v>
      </c>
      <c r="D12" s="630">
        <f>F12-C12</f>
        <v>11000000</v>
      </c>
      <c r="E12" s="801">
        <f>F12/C12</f>
        <v>1.2756892230576442</v>
      </c>
      <c r="F12" s="19">
        <f>'Bevételek(önkormányzat 2020'!F30</f>
        <v>50900000</v>
      </c>
      <c r="G12" s="23" t="s">
        <v>20</v>
      </c>
      <c r="H12" s="24" t="s">
        <v>21</v>
      </c>
      <c r="I12" s="630">
        <f>'Kiadások(önkormányzat 2020)'!C60</f>
        <v>11000000</v>
      </c>
      <c r="J12" s="630">
        <f t="shared" si="0"/>
        <v>800000</v>
      </c>
      <c r="K12" s="322">
        <f t="shared" si="1"/>
        <v>1.0727272727272728</v>
      </c>
      <c r="L12" s="20">
        <f>'Kiadások(önkormányzat 2020)'!F60</f>
        <v>11800000</v>
      </c>
      <c r="M12" s="1"/>
    </row>
    <row r="13" spans="1:13" ht="22.5" x14ac:dyDescent="0.6">
      <c r="A13" s="21" t="s">
        <v>22</v>
      </c>
      <c r="B13" s="22" t="s">
        <v>23</v>
      </c>
      <c r="C13" s="269">
        <f>'Bevételek(önkormányzat 2020'!C40</f>
        <v>14061000</v>
      </c>
      <c r="D13" s="817">
        <f>F13-C13</f>
        <v>3210000</v>
      </c>
      <c r="E13" s="801">
        <f>F13/C13</f>
        <v>1.2282910177085555</v>
      </c>
      <c r="F13" s="19">
        <f>'Bevételek(önkormányzat 2020'!F40</f>
        <v>17271000</v>
      </c>
      <c r="G13" s="23" t="s">
        <v>24</v>
      </c>
      <c r="H13" s="24" t="s">
        <v>25</v>
      </c>
      <c r="I13" s="630">
        <f>'Kiadások(önkormányzat 2020)'!C66</f>
        <v>15230000</v>
      </c>
      <c r="J13" s="630">
        <f t="shared" si="0"/>
        <v>1100000</v>
      </c>
      <c r="K13" s="322">
        <f t="shared" si="1"/>
        <v>1.0722258699934339</v>
      </c>
      <c r="L13" s="20">
        <f>'Kiadások(önkormányzat 2020)'!F66</f>
        <v>16330000</v>
      </c>
      <c r="M13" s="1"/>
    </row>
    <row r="14" spans="1:13" ht="23.25" thickBot="1" x14ac:dyDescent="0.65">
      <c r="A14" s="25"/>
      <c r="B14" s="26"/>
      <c r="C14" s="809"/>
      <c r="D14" s="273"/>
      <c r="E14" s="1012"/>
      <c r="F14" s="29"/>
      <c r="G14" s="27" t="s">
        <v>28</v>
      </c>
      <c r="H14" s="28" t="s">
        <v>29</v>
      </c>
      <c r="I14" s="812">
        <f>'Kiadások(önkormányzat 2020)'!C78</f>
        <v>162999400</v>
      </c>
      <c r="J14" s="812">
        <f t="shared" si="0"/>
        <v>24586484</v>
      </c>
      <c r="K14" s="322">
        <f t="shared" si="1"/>
        <v>1.1508378803848358</v>
      </c>
      <c r="L14" s="30">
        <f>'Kiadások(önkormányzat 2020)'!F78</f>
        <v>187585884</v>
      </c>
      <c r="M14" s="1"/>
    </row>
    <row r="15" spans="1:13" ht="23.25" thickBot="1" x14ac:dyDescent="0.65">
      <c r="A15" s="31"/>
      <c r="B15" s="1013" t="s">
        <v>382</v>
      </c>
      <c r="C15" s="510">
        <f>SUM(C9:C14)</f>
        <v>256259415</v>
      </c>
      <c r="D15" s="510">
        <f>SUM(D9:D14)</f>
        <v>29533998</v>
      </c>
      <c r="E15" s="1010">
        <f>F15/C15</f>
        <v>1.1152503918734069</v>
      </c>
      <c r="F15" s="1014">
        <f>SUM(F9:F14)</f>
        <v>285793413</v>
      </c>
      <c r="G15" s="32"/>
      <c r="H15" s="33" t="s">
        <v>30</v>
      </c>
      <c r="I15" s="510">
        <f>SUM(I9:I14)</f>
        <v>301823860</v>
      </c>
      <c r="J15" s="510">
        <f>SUM(J9:J14)</f>
        <v>37183644</v>
      </c>
      <c r="K15" s="1010">
        <f t="shared" si="1"/>
        <v>1.1231965027549511</v>
      </c>
      <c r="L15" s="1014">
        <f>SUM(L9:L14)</f>
        <v>339007504</v>
      </c>
      <c r="M15" s="1"/>
    </row>
    <row r="16" spans="1:13" ht="22.5" x14ac:dyDescent="0.6">
      <c r="A16" s="35" t="s">
        <v>26</v>
      </c>
      <c r="B16" s="331" t="s">
        <v>27</v>
      </c>
      <c r="C16" s="806">
        <f>'Bevételek(önkormányzat 2020'!C47</f>
        <v>21385100</v>
      </c>
      <c r="D16" s="811">
        <f>F16-C16</f>
        <v>7493590</v>
      </c>
      <c r="E16" s="803">
        <f>F16/C16</f>
        <v>1.3504117352736251</v>
      </c>
      <c r="F16" s="330">
        <f>'Bevételek(önkormányzat 2020'!F47</f>
        <v>28878690</v>
      </c>
      <c r="G16" s="36" t="s">
        <v>33</v>
      </c>
      <c r="H16" s="18" t="s">
        <v>34</v>
      </c>
      <c r="I16" s="811">
        <f>'Kiadások(önkormányzat 2020)'!C75</f>
        <v>17617611</v>
      </c>
      <c r="J16" s="808">
        <f t="shared" ref="J16:J21" si="2">SUM(L16-I16)</f>
        <v>1889238</v>
      </c>
      <c r="K16" s="323">
        <f t="shared" si="1"/>
        <v>1.1072357653940708</v>
      </c>
      <c r="L16" s="38">
        <f>'Kiadások(önkormányzat 2020)'!F75</f>
        <v>19506849</v>
      </c>
      <c r="M16" s="1"/>
    </row>
    <row r="17" spans="1:18" ht="22.5" x14ac:dyDescent="0.6">
      <c r="A17" s="302" t="s">
        <v>31</v>
      </c>
      <c r="B17" s="332" t="s">
        <v>32</v>
      </c>
      <c r="C17" s="269">
        <f>'Bevételek(önkormányzat 2020'!C48</f>
        <v>126631141</v>
      </c>
      <c r="D17" s="813">
        <f>F17-C17</f>
        <v>124397420</v>
      </c>
      <c r="E17" s="804">
        <f>F17/C17</f>
        <v>1.9823604132256851</v>
      </c>
      <c r="F17" s="19">
        <f>'Bevételek(önkormányzat 2020'!F48</f>
        <v>251028561</v>
      </c>
      <c r="G17" s="1025" t="s">
        <v>35</v>
      </c>
      <c r="H17" s="24" t="s">
        <v>36</v>
      </c>
      <c r="I17" s="630">
        <f>'Kiadások(önkormányzat 2020)'!C80</f>
        <v>73034234</v>
      </c>
      <c r="J17" s="813">
        <f t="shared" si="2"/>
        <v>122662615</v>
      </c>
      <c r="K17" s="323">
        <f t="shared" si="1"/>
        <v>2.6795221676453811</v>
      </c>
      <c r="L17" s="20">
        <f>'Kiadások(önkormányzat 2020)'!F80</f>
        <v>195696849</v>
      </c>
      <c r="M17" s="1"/>
      <c r="N17" s="39"/>
      <c r="O17" s="39"/>
    </row>
    <row r="18" spans="1:18" ht="22.5" x14ac:dyDescent="0.6">
      <c r="A18" s="302" t="s">
        <v>384</v>
      </c>
      <c r="B18" s="332" t="s">
        <v>386</v>
      </c>
      <c r="C18" s="269">
        <f>'Bevételek(önkormányzat 2020'!C49</f>
        <v>0</v>
      </c>
      <c r="D18" s="335">
        <f>'Bevételek(önkormányzat 2020'!D49</f>
        <v>6000000</v>
      </c>
      <c r="E18" s="804"/>
      <c r="F18" s="19">
        <f>'Bevételek(önkormányzat 2020'!F49</f>
        <v>6000000</v>
      </c>
      <c r="G18" s="1025"/>
      <c r="H18" s="24" t="s">
        <v>37</v>
      </c>
      <c r="I18" s="630">
        <f>'Kiadások(önkormányzat 2020)'!C79</f>
        <v>4174703</v>
      </c>
      <c r="J18" s="813">
        <f t="shared" si="2"/>
        <v>5574604</v>
      </c>
      <c r="K18" s="323">
        <f t="shared" si="1"/>
        <v>2.3353294833189331</v>
      </c>
      <c r="L18" s="20">
        <f>'Kiadások(önkormányzat 2020)'!F79</f>
        <v>9749307</v>
      </c>
      <c r="M18" s="1"/>
    </row>
    <row r="19" spans="1:18" ht="22.5" x14ac:dyDescent="0.6">
      <c r="A19" s="302" t="s">
        <v>391</v>
      </c>
      <c r="B19" s="332" t="s">
        <v>392</v>
      </c>
      <c r="C19" s="269">
        <f>'Bevételek(önkormányzat 2020'!C45</f>
        <v>0</v>
      </c>
      <c r="D19" s="335">
        <f>'Bevételek(önkormányzat 2020'!D45</f>
        <v>0</v>
      </c>
      <c r="E19" s="805"/>
      <c r="F19" s="19">
        <f>'Bevételek(önkormányzat 2020'!F45</f>
        <v>0</v>
      </c>
      <c r="G19" s="1025"/>
      <c r="H19" s="40" t="s">
        <v>38</v>
      </c>
      <c r="I19" s="815">
        <f>'Kiadások(önkormányzat 2020)'!C81</f>
        <v>0</v>
      </c>
      <c r="J19" s="813">
        <f t="shared" si="2"/>
        <v>0</v>
      </c>
      <c r="K19" s="323"/>
      <c r="L19" s="41">
        <f>'Kiadások(önkormányzat 2020)'!F81</f>
        <v>0</v>
      </c>
      <c r="M19" s="1"/>
    </row>
    <row r="20" spans="1:18" ht="23.25" thickBot="1" x14ac:dyDescent="0.65">
      <c r="A20" s="42"/>
      <c r="B20" s="333"/>
      <c r="C20" s="809"/>
      <c r="D20" s="336"/>
      <c r="E20" s="805"/>
      <c r="F20" s="29"/>
      <c r="G20" s="43" t="s">
        <v>39</v>
      </c>
      <c r="H20" s="28" t="s">
        <v>40</v>
      </c>
      <c r="I20" s="812">
        <f>'Kiadások(önkormányzat 2020)'!C76</f>
        <v>0</v>
      </c>
      <c r="J20" s="814">
        <f t="shared" si="2"/>
        <v>0</v>
      </c>
      <c r="K20" s="323"/>
      <c r="L20" s="29">
        <f>'Kiadások(önkormányzat 2020)'!F76</f>
        <v>0</v>
      </c>
      <c r="M20" s="1"/>
    </row>
    <row r="21" spans="1:18" ht="23.25" thickBot="1" x14ac:dyDescent="0.65">
      <c r="A21" s="44"/>
      <c r="B21" s="334"/>
      <c r="C21" s="810"/>
      <c r="D21" s="337"/>
      <c r="E21" s="807"/>
      <c r="F21" s="800"/>
      <c r="G21" s="45" t="s">
        <v>41</v>
      </c>
      <c r="H21" s="507" t="s">
        <v>42</v>
      </c>
      <c r="I21" s="34">
        <f>'Kiadások(önkormányzat 2020)'!C77</f>
        <v>7625248</v>
      </c>
      <c r="J21" s="34">
        <f t="shared" si="2"/>
        <v>114907</v>
      </c>
      <c r="K21" s="799">
        <f>L21/I21</f>
        <v>1.0150692803696353</v>
      </c>
      <c r="L21" s="34">
        <f>'Kiadások(önkormányzat 2020)'!F77</f>
        <v>7740155</v>
      </c>
      <c r="M21" s="1"/>
    </row>
    <row r="22" spans="1:18" ht="23.25" thickBot="1" x14ac:dyDescent="0.65">
      <c r="A22" s="1026" t="s">
        <v>43</v>
      </c>
      <c r="B22" s="1027"/>
      <c r="C22" s="508">
        <f>SUM(C15:C21)</f>
        <v>404275656</v>
      </c>
      <c r="D22" s="508">
        <f>SUM(D15:D18)</f>
        <v>167425008</v>
      </c>
      <c r="E22" s="1009">
        <f>F22/C22</f>
        <v>1.4141357648307173</v>
      </c>
      <c r="F22" s="1011">
        <f>SUM(F15:F21)</f>
        <v>571700664</v>
      </c>
      <c r="G22" s="1028" t="s">
        <v>43</v>
      </c>
      <c r="H22" s="1028"/>
      <c r="I22" s="508">
        <f>SUM(I15:I21)</f>
        <v>404275656</v>
      </c>
      <c r="J22" s="508">
        <f>SUM(J15:J21)</f>
        <v>167425008</v>
      </c>
      <c r="K22" s="1010">
        <f>L22/I22</f>
        <v>1.4141357648307173</v>
      </c>
      <c r="L22" s="509">
        <f>SUM(L15:L21)</f>
        <v>571700664</v>
      </c>
      <c r="M22" s="1"/>
      <c r="Q22" s="46"/>
      <c r="R22" s="46"/>
    </row>
    <row r="23" spans="1:18" ht="22.5" x14ac:dyDescent="0.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Q23" s="46"/>
      <c r="R23" s="46"/>
    </row>
    <row r="24" spans="1:18" ht="22.5" x14ac:dyDescent="0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Q24" s="46"/>
      <c r="R24" s="46"/>
    </row>
    <row r="25" spans="1:18" ht="22.5" x14ac:dyDescent="0.6">
      <c r="A25" s="1"/>
      <c r="B25" s="299"/>
      <c r="C25" s="299"/>
      <c r="D25" s="299"/>
      <c r="E25" s="1"/>
      <c r="F25" s="1"/>
      <c r="G25" s="1"/>
      <c r="H25" s="1"/>
      <c r="I25" s="1"/>
      <c r="J25" s="1"/>
      <c r="K25" s="1"/>
      <c r="L25" s="1"/>
      <c r="M25" s="1"/>
      <c r="Q25" s="46"/>
      <c r="R25" s="46"/>
    </row>
    <row r="26" spans="1:18" ht="22.5" x14ac:dyDescent="0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ht="22.5" x14ac:dyDescent="0.6">
      <c r="A27" s="1"/>
      <c r="B27" s="1"/>
      <c r="C27" s="1"/>
      <c r="D27" s="1"/>
      <c r="E27" s="1"/>
      <c r="F27" s="299">
        <f>F22-L22</f>
        <v>0</v>
      </c>
      <c r="G27" s="1"/>
      <c r="H27" s="1"/>
      <c r="I27" s="1"/>
      <c r="J27" s="1"/>
      <c r="K27" s="1"/>
      <c r="L27" s="1"/>
      <c r="M27" s="1"/>
    </row>
    <row r="33" spans="1:13" ht="22.5" x14ac:dyDescent="0.6">
      <c r="A33" s="47"/>
      <c r="B33" s="48"/>
      <c r="C33" s="48"/>
      <c r="D33" s="46"/>
      <c r="E33" s="46"/>
      <c r="F33" s="46"/>
    </row>
    <row r="34" spans="1:13" ht="22.5" x14ac:dyDescent="0.6">
      <c r="A34" s="47"/>
      <c r="B34" s="48"/>
      <c r="C34" s="48"/>
      <c r="D34" s="46"/>
      <c r="E34" s="46"/>
      <c r="F34" s="46"/>
    </row>
    <row r="35" spans="1:13" ht="22.5" x14ac:dyDescent="0.6">
      <c r="A35" s="47"/>
      <c r="B35" s="48"/>
      <c r="C35" s="48"/>
      <c r="D35" s="46"/>
      <c r="E35" s="46"/>
      <c r="F35" s="46"/>
    </row>
    <row r="36" spans="1:13" ht="22.5" x14ac:dyDescent="0.6">
      <c r="A36" s="47"/>
      <c r="B36" s="48"/>
      <c r="C36" s="48"/>
      <c r="D36" s="46"/>
      <c r="E36" s="46"/>
      <c r="F36" s="46"/>
    </row>
    <row r="37" spans="1:13" ht="22.5" x14ac:dyDescent="0.6">
      <c r="A37" s="47"/>
      <c r="B37" s="48"/>
      <c r="C37" s="48"/>
      <c r="D37" s="46"/>
      <c r="E37" s="46"/>
      <c r="F37" s="46"/>
    </row>
    <row r="38" spans="1:13" ht="22.5" x14ac:dyDescent="0.6">
      <c r="A38" s="47"/>
      <c r="B38" s="48"/>
      <c r="C38" s="48"/>
      <c r="D38" s="46"/>
      <c r="E38" s="46"/>
      <c r="F38" s="46"/>
    </row>
    <row r="39" spans="1:13" ht="22.5" x14ac:dyDescent="0.6">
      <c r="A39" s="47"/>
      <c r="B39" s="48"/>
      <c r="C39" s="48"/>
      <c r="D39" s="46"/>
      <c r="E39" s="46"/>
      <c r="F39" s="46"/>
      <c r="H39" s="47"/>
      <c r="I39" s="47"/>
      <c r="J39" s="48"/>
      <c r="K39" s="48"/>
      <c r="L39" s="46"/>
      <c r="M39" s="46"/>
    </row>
    <row r="40" spans="1:13" ht="22.5" x14ac:dyDescent="0.6">
      <c r="A40" s="47"/>
      <c r="B40" s="48"/>
      <c r="C40" s="48"/>
      <c r="D40" s="46"/>
      <c r="E40" s="46"/>
      <c r="F40" s="46"/>
      <c r="H40" s="47"/>
      <c r="I40" s="47"/>
      <c r="J40" s="48"/>
      <c r="K40" s="48"/>
      <c r="L40" s="46"/>
      <c r="M40" s="46"/>
    </row>
    <row r="41" spans="1:13" ht="22.5" x14ac:dyDescent="0.6">
      <c r="A41" s="47"/>
      <c r="B41" s="48"/>
      <c r="C41" s="48"/>
      <c r="D41" s="46"/>
      <c r="E41" s="46"/>
      <c r="F41" s="46"/>
      <c r="H41" s="47"/>
      <c r="I41" s="47"/>
      <c r="J41" s="48"/>
      <c r="K41" s="48"/>
      <c r="L41" s="46"/>
      <c r="M41" s="46"/>
    </row>
    <row r="42" spans="1:13" ht="22.5" x14ac:dyDescent="0.6">
      <c r="A42" s="47"/>
      <c r="B42" s="48"/>
      <c r="C42" s="48"/>
      <c r="D42" s="46"/>
      <c r="E42" s="46"/>
      <c r="F42" s="46"/>
      <c r="H42" s="47"/>
      <c r="I42" s="47"/>
      <c r="J42" s="48"/>
      <c r="K42" s="48"/>
      <c r="L42" s="46"/>
      <c r="M42" s="46"/>
    </row>
    <row r="43" spans="1:13" ht="22.5" x14ac:dyDescent="0.6">
      <c r="A43" s="47"/>
      <c r="B43" s="48"/>
      <c r="C43" s="48"/>
      <c r="D43" s="46"/>
      <c r="E43" s="46"/>
      <c r="F43" s="46"/>
      <c r="H43" s="47"/>
      <c r="I43" s="47"/>
      <c r="J43" s="48"/>
      <c r="K43" s="48"/>
      <c r="L43" s="46"/>
      <c r="M43" s="46"/>
    </row>
    <row r="44" spans="1:13" ht="22.5" x14ac:dyDescent="0.6">
      <c r="A44" s="47"/>
      <c r="B44" s="48"/>
      <c r="C44" s="48"/>
      <c r="D44" s="46"/>
      <c r="E44" s="46"/>
      <c r="F44" s="46"/>
      <c r="H44" s="47"/>
      <c r="I44" s="47"/>
      <c r="J44" s="48"/>
      <c r="K44" s="48"/>
      <c r="L44" s="46"/>
      <c r="M44" s="46"/>
    </row>
    <row r="45" spans="1:13" x14ac:dyDescent="0.2">
      <c r="H45" s="49"/>
      <c r="I45" s="49"/>
      <c r="J45" s="49"/>
      <c r="K45" s="49"/>
      <c r="L45" s="49"/>
      <c r="M45" s="49"/>
    </row>
  </sheetData>
  <sheetProtection algorithmName="SHA-512" hashValue="1fiWWfcLmlje4UHiJI51DXjG4IUyPFgnZI5fx3D2YfpcoFMNNk4pdSFfs+1sXm9D6Qux8PGnskfZGu8OpSf+Pw==" saltValue="tRmnTJ/CV5VJ45KtEfKwjA==" spinCount="100000" sheet="1" objects="1" scenarios="1"/>
  <mergeCells count="8">
    <mergeCell ref="G17:G19"/>
    <mergeCell ref="A22:B22"/>
    <mergeCell ref="G22:H22"/>
    <mergeCell ref="B2:L2"/>
    <mergeCell ref="B3:L3"/>
    <mergeCell ref="A5:L5"/>
    <mergeCell ref="A7:F7"/>
    <mergeCell ref="G7:L7"/>
  </mergeCells>
  <pageMargins left="0.74803149606299213" right="0.74803149606299213" top="0.98425196850393704" bottom="0.98425196850393704" header="0.51181102362204722" footer="0.51181102362204722"/>
  <pageSetup paperSize="9" scale="71" firstPageNumber="0" orientation="landscape" verticalDpi="300" r:id="rId1"/>
  <headerFooter>
    <oddHeader>&amp;R2022.01.hó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I54"/>
  <sheetViews>
    <sheetView showGridLines="0" topLeftCell="A29" zoomScale="90" zoomScaleNormal="90" workbookViewId="0">
      <selection activeCell="K44" sqref="K44"/>
    </sheetView>
  </sheetViews>
  <sheetFormatPr defaultRowHeight="12.75" x14ac:dyDescent="0.2"/>
  <cols>
    <col min="1" max="1" width="11.85546875" customWidth="1"/>
    <col min="2" max="2" width="51.5703125" customWidth="1"/>
    <col min="3" max="3" width="19.7109375" customWidth="1"/>
    <col min="4" max="4" width="14.7109375" customWidth="1"/>
    <col min="5" max="5" width="12.7109375" customWidth="1"/>
    <col min="6" max="6" width="18.28515625" customWidth="1"/>
    <col min="7" max="7" width="20.140625" customWidth="1"/>
    <col min="8" max="8" width="8.42578125" customWidth="1"/>
    <col min="9" max="9" width="9.7109375" customWidth="1"/>
    <col min="10" max="1024" width="8.42578125" customWidth="1"/>
  </cols>
  <sheetData>
    <row r="1" spans="1:6" x14ac:dyDescent="0.2">
      <c r="F1" s="50" t="s">
        <v>44</v>
      </c>
    </row>
    <row r="2" spans="1:6" ht="15.75" x14ac:dyDescent="0.25">
      <c r="A2" s="1033" t="s">
        <v>646</v>
      </c>
      <c r="B2" s="1033"/>
      <c r="C2" s="1033"/>
      <c r="D2" s="1033"/>
      <c r="E2" s="1033"/>
      <c r="F2" s="1033"/>
    </row>
    <row r="3" spans="1:6" ht="15.75" x14ac:dyDescent="0.25">
      <c r="A3" s="1033" t="s">
        <v>393</v>
      </c>
      <c r="B3" s="1033"/>
      <c r="C3" s="1033"/>
      <c r="D3" s="1033"/>
      <c r="E3" s="1033"/>
      <c r="F3" s="1033"/>
    </row>
    <row r="4" spans="1:6" ht="13.5" thickBot="1" x14ac:dyDescent="0.25">
      <c r="F4" s="52" t="s">
        <v>45</v>
      </c>
    </row>
    <row r="5" spans="1:6" ht="15.75" x14ac:dyDescent="0.25">
      <c r="A5" s="1034" t="s">
        <v>2</v>
      </c>
      <c r="B5" s="1034"/>
      <c r="C5" s="1034"/>
      <c r="D5" s="1034"/>
      <c r="E5" s="1034"/>
      <c r="F5" s="1034"/>
    </row>
    <row r="6" spans="1:6" ht="15.75" customHeight="1" thickBot="1" x14ac:dyDescent="0.25">
      <c r="A6" s="1035" t="s">
        <v>46</v>
      </c>
      <c r="B6" s="1036" t="s">
        <v>47</v>
      </c>
      <c r="C6" s="1037">
        <v>2021</v>
      </c>
      <c r="D6" s="1038"/>
      <c r="E6" s="1038"/>
      <c r="F6" s="571">
        <v>2022</v>
      </c>
    </row>
    <row r="7" spans="1:6" ht="25.5" customHeight="1" thickBot="1" x14ac:dyDescent="0.25">
      <c r="A7" s="1035"/>
      <c r="B7" s="1036"/>
      <c r="C7" s="54" t="s">
        <v>48</v>
      </c>
      <c r="D7" s="495" t="s">
        <v>519</v>
      </c>
      <c r="E7" s="53" t="s">
        <v>387</v>
      </c>
      <c r="F7" s="570" t="s">
        <v>520</v>
      </c>
    </row>
    <row r="8" spans="1:6" ht="24.95" customHeight="1" x14ac:dyDescent="0.2">
      <c r="A8" s="55" t="s">
        <v>49</v>
      </c>
      <c r="B8" s="785" t="s">
        <v>50</v>
      </c>
      <c r="C8" s="793">
        <f>'Bevételek COFOG szerint 2020'!C45</f>
        <v>92228377</v>
      </c>
      <c r="D8" s="797">
        <f t="shared" ref="D8:D13" si="0">F8-C8</f>
        <v>571504</v>
      </c>
      <c r="E8" s="867">
        <f>'Bevételek COFOG szerint 2020'!E45</f>
        <v>100.61966177719901</v>
      </c>
      <c r="F8" s="58">
        <f>'Bevételek COFOG szerint 2020'!F45</f>
        <v>92799881</v>
      </c>
    </row>
    <row r="9" spans="1:6" ht="24.95" customHeight="1" x14ac:dyDescent="0.2">
      <c r="A9" s="59" t="s">
        <v>51</v>
      </c>
      <c r="B9" s="60" t="s">
        <v>52</v>
      </c>
      <c r="C9" s="794">
        <f>'Bevételek COFOG szerint 2020'!C56</f>
        <v>52815870</v>
      </c>
      <c r="D9" s="61">
        <f t="shared" si="0"/>
        <v>3948580</v>
      </c>
      <c r="E9" s="868">
        <f>'Bevételek COFOG szerint 2020'!E56+'Bevételek COFOG szerint 2020'!E59</f>
        <v>107.4761241270853</v>
      </c>
      <c r="F9" s="62">
        <f>'Bevételek COFOG szerint 2020'!F56</f>
        <v>56764450</v>
      </c>
    </row>
    <row r="10" spans="1:6" ht="24.95" customHeight="1" x14ac:dyDescent="0.2">
      <c r="A10" s="59" t="s">
        <v>53</v>
      </c>
      <c r="B10" s="60" t="s">
        <v>54</v>
      </c>
      <c r="C10" s="794">
        <f>'Bevételek COFOG szerint 2020'!C61+'Bevételek COFOG szerint 2020'!C66</f>
        <v>40068658</v>
      </c>
      <c r="D10" s="61">
        <f t="shared" si="0"/>
        <v>-1783341</v>
      </c>
      <c r="E10" s="868">
        <f>'Bevételek COFOG szerint 2020'!E61</f>
        <v>105.12327173475325</v>
      </c>
      <c r="F10" s="62">
        <f>'Bevételek COFOG szerint 2020'!F61+'Bevételek COFOG szerint 2020'!F66</f>
        <v>38285317</v>
      </c>
    </row>
    <row r="11" spans="1:6" ht="24.95" customHeight="1" x14ac:dyDescent="0.2">
      <c r="A11" s="59" t="s">
        <v>55</v>
      </c>
      <c r="B11" s="60" t="s">
        <v>56</v>
      </c>
      <c r="C11" s="794">
        <f>'Bevételek COFOG szerint 2020'!C70</f>
        <v>5518310</v>
      </c>
      <c r="D11" s="61">
        <f t="shared" si="0"/>
        <v>135905</v>
      </c>
      <c r="E11" s="868">
        <f>'Bevételek COFOG szerint 2020'!E70</f>
        <v>102.46280111120979</v>
      </c>
      <c r="F11" s="62">
        <f>'Bevételek COFOG szerint 2020'!F70</f>
        <v>5654215</v>
      </c>
    </row>
    <row r="12" spans="1:6" ht="24.95" customHeight="1" x14ac:dyDescent="0.2">
      <c r="A12" s="63" t="s">
        <v>57</v>
      </c>
      <c r="B12" s="64" t="s">
        <v>58</v>
      </c>
      <c r="C12" s="795">
        <f>'Bevételek COFOG szerint 2020'!C72+'Bevételek COFOG szerint 2020'!C73</f>
        <v>0</v>
      </c>
      <c r="D12" s="61">
        <f t="shared" si="0"/>
        <v>12946150</v>
      </c>
      <c r="E12" s="869">
        <f>'Bevételek COFOG szerint 2020'!E72+'Bevételek COFOG szerint 2020'!E73</f>
        <v>0</v>
      </c>
      <c r="F12" s="66">
        <f>SUM('Bevételek COFOG szerint 2020'!F72)</f>
        <v>12946150</v>
      </c>
    </row>
    <row r="13" spans="1:6" ht="24.95" customHeight="1" thickBot="1" x14ac:dyDescent="0.25">
      <c r="A13" s="72" t="s">
        <v>479</v>
      </c>
      <c r="B13" s="73" t="s">
        <v>522</v>
      </c>
      <c r="C13" s="796">
        <f>'Bevételek COFOG szerint 2020'!C75</f>
        <v>0</v>
      </c>
      <c r="D13" s="57">
        <f t="shared" si="0"/>
        <v>0</v>
      </c>
      <c r="E13" s="870">
        <f>'Bevételek COFOG szerint 2020'!E75</f>
        <v>0</v>
      </c>
      <c r="F13" s="75"/>
    </row>
    <row r="14" spans="1:6" ht="30" customHeight="1" thickBot="1" x14ac:dyDescent="0.25">
      <c r="A14" s="1041" t="s">
        <v>59</v>
      </c>
      <c r="B14" s="1041"/>
      <c r="C14" s="514">
        <f>SUM(C8:C13)</f>
        <v>190631215</v>
      </c>
      <c r="D14" s="67">
        <f>SUM(D8:D13)</f>
        <v>15818798</v>
      </c>
      <c r="E14" s="352">
        <f>F14/C14*100</f>
        <v>108.29811529030017</v>
      </c>
      <c r="F14" s="68">
        <f>SUM(F8:F13)</f>
        <v>206450013</v>
      </c>
    </row>
    <row r="15" spans="1:6" ht="24.95" customHeight="1" x14ac:dyDescent="0.2">
      <c r="A15" s="55" t="s">
        <v>60</v>
      </c>
      <c r="B15" s="56" t="s">
        <v>61</v>
      </c>
      <c r="C15" s="511"/>
      <c r="D15" s="57"/>
      <c r="E15" s="346"/>
      <c r="F15" s="58">
        <f>'Bevételek COFOG szerint 2020'!F11</f>
        <v>0</v>
      </c>
    </row>
    <row r="16" spans="1:6" ht="24.95" customHeight="1" thickBot="1" x14ac:dyDescent="0.25">
      <c r="A16" s="63" t="s">
        <v>62</v>
      </c>
      <c r="B16" s="786" t="s">
        <v>63</v>
      </c>
      <c r="C16" s="74">
        <f>'Bevételek COFOG szerint 2020'!C77+'Bevételek COFOG szerint 2020'!C90+'Bevételek COFOG szerint 2020'!C95+'Bevételek COFOG szerint 2020'!C111+'Bevételek COFOG szerint 2020'!C116+'Bevételek COFOG szerint 2020'!C107</f>
        <v>11667200</v>
      </c>
      <c r="D16" s="787">
        <f>F16-C16</f>
        <v>-494800</v>
      </c>
      <c r="E16" s="871">
        <f>'Bevételek COFOG szerint 2020'!E77+'Bevételek COFOG szerint 2020'!E90+'Bevételek COFOG szerint 2020'!E95+'Bevételek COFOG szerint 2020'!E111+'Bevételek COFOG szerint 2020'!E116+'Bevételek COFOG szerint 2020'!E107</f>
        <v>206.18571848369089</v>
      </c>
      <c r="F16" s="66">
        <f>'Bevételek COFOG szerint 2020'!F77+'Bevételek COFOG szerint 2020'!F90+'Bevételek COFOG szerint 2020'!F95+'Bevételek COFOG szerint 2020'!F111+'Bevételek COFOG szerint 2020'!F116+'Bevételek COFOG szerint 2020'!F107</f>
        <v>11172400</v>
      </c>
    </row>
    <row r="17" spans="1:6" ht="30" customHeight="1" thickBot="1" x14ac:dyDescent="0.25">
      <c r="A17" s="1041" t="s">
        <v>64</v>
      </c>
      <c r="B17" s="1041"/>
      <c r="C17" s="514">
        <f>SUM(C15:C16)</f>
        <v>11667200</v>
      </c>
      <c r="D17" s="67">
        <f>SUM(D15:D16)</f>
        <v>-494800</v>
      </c>
      <c r="E17" s="353">
        <f>F17/C17*100</f>
        <v>95.759051014810751</v>
      </c>
      <c r="F17" s="68">
        <f>SUM(F15:F16)</f>
        <v>11172400</v>
      </c>
    </row>
    <row r="18" spans="1:6" ht="30" customHeight="1" x14ac:dyDescent="0.2">
      <c r="A18" s="627" t="s">
        <v>555</v>
      </c>
      <c r="B18" s="798" t="s">
        <v>533</v>
      </c>
      <c r="C18" s="325">
        <f>'Bevételek COFOG szerint 2020'!C78</f>
        <v>0</v>
      </c>
      <c r="D18" s="789">
        <f>F18-C18</f>
        <v>0</v>
      </c>
      <c r="E18" s="872">
        <f>'Bevételek COFOG szerint 2020'!E78</f>
        <v>0</v>
      </c>
      <c r="F18" s="629"/>
    </row>
    <row r="19" spans="1:6" ht="36.75" customHeight="1" thickBot="1" x14ac:dyDescent="0.25">
      <c r="A19" s="621" t="s">
        <v>486</v>
      </c>
      <c r="B19" s="622" t="s">
        <v>487</v>
      </c>
      <c r="C19" s="623">
        <v>0</v>
      </c>
      <c r="D19" s="789">
        <f>F19-C19</f>
        <v>0</v>
      </c>
      <c r="E19" s="625"/>
      <c r="F19" s="626">
        <f>'Bevételek COFOG szerint 2020'!F121</f>
        <v>0</v>
      </c>
    </row>
    <row r="20" spans="1:6" ht="30" customHeight="1" thickBot="1" x14ac:dyDescent="0.25">
      <c r="A20" s="1041" t="s">
        <v>503</v>
      </c>
      <c r="B20" s="1041"/>
      <c r="C20" s="514">
        <f>SUM(C18:C19)</f>
        <v>0</v>
      </c>
      <c r="D20" s="67">
        <f>D19+D18</f>
        <v>0</v>
      </c>
      <c r="E20" s="353"/>
      <c r="F20" s="68">
        <f>F19+F18</f>
        <v>0</v>
      </c>
    </row>
    <row r="21" spans="1:6" ht="24.95" customHeight="1" x14ac:dyDescent="0.2">
      <c r="A21" s="59" t="s">
        <v>66</v>
      </c>
      <c r="B21" s="785" t="s">
        <v>67</v>
      </c>
      <c r="C21" s="788">
        <f>'Bevételek COFOG szerint 2020'!C148</f>
        <v>5500000</v>
      </c>
      <c r="D21" s="844">
        <f t="shared" ref="D21:D29" si="1">F21-C21</f>
        <v>0</v>
      </c>
      <c r="E21" s="868">
        <f>'Bevételek COFOG szerint 2020'!E148</f>
        <v>100</v>
      </c>
      <c r="F21" s="62">
        <f>'Bevételek COFOG szerint 2020'!F148</f>
        <v>5500000</v>
      </c>
    </row>
    <row r="22" spans="1:6" ht="24.95" customHeight="1" x14ac:dyDescent="0.2">
      <c r="A22" s="59" t="s">
        <v>68</v>
      </c>
      <c r="B22" s="60" t="s">
        <v>69</v>
      </c>
      <c r="C22" s="61">
        <f>'Bevételek COFOG szerint 2020'!C149</f>
        <v>34000000</v>
      </c>
      <c r="D22" s="61">
        <f t="shared" si="1"/>
        <v>11000000</v>
      </c>
      <c r="E22" s="868">
        <f>'Bevételek COFOG szerint 2020'!E149</f>
        <v>132.35294117647058</v>
      </c>
      <c r="F22" s="62">
        <f>'Bevételek COFOG szerint 2020'!F149</f>
        <v>45000000</v>
      </c>
    </row>
    <row r="23" spans="1:6" ht="24.95" customHeight="1" x14ac:dyDescent="0.2">
      <c r="A23" s="59" t="s">
        <v>70</v>
      </c>
      <c r="B23" s="60" t="s">
        <v>71</v>
      </c>
      <c r="C23" s="61">
        <f>'Bevételek COFOG szerint 2020'!C150</f>
        <v>0</v>
      </c>
      <c r="D23" s="61">
        <f t="shared" si="1"/>
        <v>0</v>
      </c>
      <c r="E23" s="868">
        <f>'Bevételek COFOG szerint 2020'!E150</f>
        <v>0</v>
      </c>
      <c r="F23" s="62">
        <f>'Bevételek COFOG szerint 2020'!F150</f>
        <v>0</v>
      </c>
    </row>
    <row r="24" spans="1:6" ht="24.95" customHeight="1" x14ac:dyDescent="0.2">
      <c r="A24" s="59" t="s">
        <v>498</v>
      </c>
      <c r="B24" s="60" t="s">
        <v>499</v>
      </c>
      <c r="C24" s="61">
        <f>'Bevételek COFOG szerint 2020'!C151</f>
        <v>100000</v>
      </c>
      <c r="D24" s="61">
        <f t="shared" si="1"/>
        <v>0</v>
      </c>
      <c r="E24" s="868">
        <f>'Bevételek COFOG szerint 2020'!E151</f>
        <v>0</v>
      </c>
      <c r="F24" s="62">
        <f>'Bevételek COFOG szerint 2020'!F151</f>
        <v>100000</v>
      </c>
    </row>
    <row r="25" spans="1:6" ht="24.95" customHeight="1" x14ac:dyDescent="0.2">
      <c r="A25" s="59" t="s">
        <v>600</v>
      </c>
      <c r="B25" s="60" t="s">
        <v>635</v>
      </c>
      <c r="C25" s="61">
        <f>SUM('Bevételek COFOG szerint 2020'!C152)</f>
        <v>0</v>
      </c>
      <c r="D25" s="845">
        <f t="shared" si="1"/>
        <v>0</v>
      </c>
      <c r="E25" s="868">
        <f>SUM('Bevételek COFOG szerint 2020'!E152)</f>
        <v>0</v>
      </c>
      <c r="F25" s="62">
        <f>SUM('Bevételek COFOG szerint 2020'!F152)</f>
        <v>0</v>
      </c>
    </row>
    <row r="26" spans="1:6" ht="24.95" customHeight="1" x14ac:dyDescent="0.2">
      <c r="A26" s="59" t="s">
        <v>74</v>
      </c>
      <c r="B26" s="60" t="s">
        <v>75</v>
      </c>
      <c r="C26" s="512">
        <v>0</v>
      </c>
      <c r="D26" s="65">
        <f t="shared" si="1"/>
        <v>0</v>
      </c>
      <c r="E26" s="346"/>
      <c r="F26" s="62">
        <f>'Bevételek COFOG szerint 2020'!F10</f>
        <v>0</v>
      </c>
    </row>
    <row r="27" spans="1:6" ht="24.95" customHeight="1" x14ac:dyDescent="0.2">
      <c r="A27" s="59" t="s">
        <v>76</v>
      </c>
      <c r="B27" s="60" t="s">
        <v>77</v>
      </c>
      <c r="C27" s="512">
        <v>0</v>
      </c>
      <c r="D27" s="61">
        <f t="shared" si="1"/>
        <v>0</v>
      </c>
      <c r="E27" s="346"/>
      <c r="F27" s="62">
        <v>0</v>
      </c>
    </row>
    <row r="28" spans="1:6" ht="24.95" customHeight="1" x14ac:dyDescent="0.2">
      <c r="A28" s="59" t="s">
        <v>78</v>
      </c>
      <c r="B28" s="60" t="s">
        <v>79</v>
      </c>
      <c r="C28" s="61">
        <f>'Bevételek COFOG szerint 2020'!C155</f>
        <v>300000</v>
      </c>
      <c r="D28" s="61">
        <f t="shared" si="1"/>
        <v>0</v>
      </c>
      <c r="E28" s="873">
        <f>'Bevételek COFOG szerint 2020'!E155</f>
        <v>100</v>
      </c>
      <c r="F28" s="62">
        <f>'Bevételek COFOG szerint 2020'!F155</f>
        <v>300000</v>
      </c>
    </row>
    <row r="29" spans="1:6" ht="24.95" customHeight="1" thickBot="1" x14ac:dyDescent="0.25">
      <c r="A29" s="63" t="s">
        <v>80</v>
      </c>
      <c r="B29" s="64" t="s">
        <v>81</v>
      </c>
      <c r="C29" s="513">
        <v>0</v>
      </c>
      <c r="D29" s="57">
        <f t="shared" si="1"/>
        <v>0</v>
      </c>
      <c r="E29" s="346"/>
      <c r="F29" s="66">
        <v>0</v>
      </c>
    </row>
    <row r="30" spans="1:6" ht="24.95" customHeight="1" thickBot="1" x14ac:dyDescent="0.25">
      <c r="A30" s="1041" t="s">
        <v>82</v>
      </c>
      <c r="B30" s="1041"/>
      <c r="C30" s="514">
        <f>SUM(C21:C29)</f>
        <v>39900000</v>
      </c>
      <c r="D30" s="69">
        <f>SUM(D21:D29)</f>
        <v>11000000</v>
      </c>
      <c r="E30" s="354">
        <f>F30/C30*100</f>
        <v>127.56892230576442</v>
      </c>
      <c r="F30" s="70">
        <f>SUM(F21:F29)</f>
        <v>50900000</v>
      </c>
    </row>
    <row r="31" spans="1:6" ht="24.95" customHeight="1" x14ac:dyDescent="0.2">
      <c r="A31" s="55" t="s">
        <v>83</v>
      </c>
      <c r="B31" s="785" t="s">
        <v>84</v>
      </c>
      <c r="C31" s="793">
        <f>SUM('Bevételek COFOG szerint 2020'!C15)</f>
        <v>100000</v>
      </c>
      <c r="D31" s="844">
        <f t="shared" ref="D31:D39" si="2">F31-C31</f>
        <v>0</v>
      </c>
      <c r="E31" s="868">
        <f>SUM('Bevételek COFOG szerint 2020'!E15)</f>
        <v>100</v>
      </c>
      <c r="F31" s="62">
        <f>SUM('Bevételek COFOG szerint 2020'!F15)</f>
        <v>100000</v>
      </c>
    </row>
    <row r="32" spans="1:6" ht="24.95" customHeight="1" x14ac:dyDescent="0.2">
      <c r="A32" s="55" t="s">
        <v>471</v>
      </c>
      <c r="B32" s="56" t="s">
        <v>472</v>
      </c>
      <c r="C32" s="794">
        <f>'Bevételek COFOG szerint 2020'!C16</f>
        <v>1620000</v>
      </c>
      <c r="D32" s="61">
        <f t="shared" si="2"/>
        <v>0</v>
      </c>
      <c r="E32" s="868">
        <f>'Bevételek COFOG szerint 2020'!E16</f>
        <v>100</v>
      </c>
      <c r="F32" s="62">
        <f>'Bevételek COFOG szerint 2020'!F16</f>
        <v>1620000</v>
      </c>
    </row>
    <row r="33" spans="1:8" ht="24.95" customHeight="1" x14ac:dyDescent="0.2">
      <c r="A33" s="59" t="s">
        <v>85</v>
      </c>
      <c r="B33" s="60" t="s">
        <v>86</v>
      </c>
      <c r="C33" s="794">
        <f>SUM('Bevételek COFOG szerint 2020'!C17+'Bevételek COFOG szerint 2020'!C39+'Bevételek COFOG szerint 2020'!C100)</f>
        <v>4170000</v>
      </c>
      <c r="D33" s="845">
        <f t="shared" si="2"/>
        <v>3030000</v>
      </c>
      <c r="E33" s="868">
        <f>SUM('Bevételek COFOG szerint 2020'!E17+'Bevételek COFOG szerint 2020'!E39+'Bevételek COFOG szerint 2020'!E100)</f>
        <v>303.09278350515461</v>
      </c>
      <c r="F33" s="62">
        <f>SUM('Bevételek COFOG szerint 2020'!F17+'Bevételek COFOG szerint 2020'!F39+'Bevételek COFOG szerint 2020'!F100)</f>
        <v>7200000</v>
      </c>
      <c r="H33" s="71"/>
    </row>
    <row r="34" spans="1:8" ht="24.95" customHeight="1" x14ac:dyDescent="0.2">
      <c r="A34" s="59" t="s">
        <v>87</v>
      </c>
      <c r="B34" s="60" t="s">
        <v>88</v>
      </c>
      <c r="C34" s="794">
        <f>SUM('Bevételek COFOG szerint 2020'!C126+'Bevételek COFOG szerint 2020'!C142+'Bevételek COFOG szerint 2020'!C137)</f>
        <v>4883000</v>
      </c>
      <c r="D34" s="65">
        <f t="shared" si="2"/>
        <v>-583000</v>
      </c>
      <c r="E34" s="868">
        <f>SUM('Bevételek COFOG szerint 2020'!E126+'Bevételek COFOG szerint 2020'!E142+'Bevételek COFOG szerint 2020'!E137)</f>
        <v>201.24516237590441</v>
      </c>
      <c r="F34" s="62">
        <f>SUM('Bevételek COFOG szerint 2020'!F126+'Bevételek COFOG szerint 2020'!F142+'Bevételek COFOG szerint 2020'!F137)</f>
        <v>4300000</v>
      </c>
    </row>
    <row r="35" spans="1:8" ht="24.95" customHeight="1" x14ac:dyDescent="0.2">
      <c r="A35" s="59" t="s">
        <v>89</v>
      </c>
      <c r="B35" s="60" t="s">
        <v>90</v>
      </c>
      <c r="C35" s="794">
        <f>'Bevételek COFOG szerint 2020'!C101+'Bevételek COFOG szerint 2020'!C127+'Bevételek COFOG szerint 2020'!C143</f>
        <v>2018000</v>
      </c>
      <c r="D35" s="65">
        <f t="shared" si="2"/>
        <v>763000</v>
      </c>
      <c r="E35" s="868">
        <f>'Bevételek COFOG szerint 2020'!E101+'Bevételek COFOG szerint 2020'!E127+'Bevételek COFOG szerint 2020'!E143</f>
        <v>404.69755469755466</v>
      </c>
      <c r="F35" s="62">
        <f>'Bevételek COFOG szerint 2020'!F101+'Bevételek COFOG szerint 2020'!F127+'Bevételek COFOG szerint 2020'!F143</f>
        <v>2781000</v>
      </c>
    </row>
    <row r="36" spans="1:8" ht="24.95" customHeight="1" x14ac:dyDescent="0.2">
      <c r="A36" s="59" t="s">
        <v>91</v>
      </c>
      <c r="B36" s="60" t="s">
        <v>92</v>
      </c>
      <c r="C36" s="794">
        <f>SUM('Bevételek COFOG szerint 2020'!C20)</f>
        <v>0</v>
      </c>
      <c r="D36" s="65">
        <f t="shared" si="2"/>
        <v>0</v>
      </c>
      <c r="E36" s="868">
        <f>SUM('Bevételek COFOG szerint 2020'!E20)</f>
        <v>0</v>
      </c>
      <c r="F36" s="62">
        <f>SUM('Bevételek COFOG szerint 2020'!F20)</f>
        <v>0</v>
      </c>
    </row>
    <row r="37" spans="1:8" ht="24.95" customHeight="1" x14ac:dyDescent="0.2">
      <c r="A37" s="59" t="s">
        <v>93</v>
      </c>
      <c r="B37" s="60" t="s">
        <v>94</v>
      </c>
      <c r="C37" s="794">
        <f>SUM('Bevételek COFOG szerint 2020'!C21)</f>
        <v>0</v>
      </c>
      <c r="D37" s="61">
        <f t="shared" si="2"/>
        <v>0</v>
      </c>
      <c r="E37" s="868">
        <f>SUM('Bevételek COFOG szerint 2020'!E21)</f>
        <v>0</v>
      </c>
      <c r="F37" s="62">
        <f>SUM('Bevételek COFOG szerint 2020'!F21)</f>
        <v>0</v>
      </c>
    </row>
    <row r="38" spans="1:8" ht="24.95" customHeight="1" x14ac:dyDescent="0.2">
      <c r="A38" s="59" t="s">
        <v>95</v>
      </c>
      <c r="B38" s="60" t="s">
        <v>390</v>
      </c>
      <c r="C38" s="794">
        <f>'Bevételek COFOG szerint 2020'!C40</f>
        <v>1260000</v>
      </c>
      <c r="D38" s="61">
        <f t="shared" si="2"/>
        <v>0</v>
      </c>
      <c r="E38" s="868">
        <f>'Bevételek COFOG szerint 2020'!E40</f>
        <v>100</v>
      </c>
      <c r="F38" s="62">
        <f>'Bevételek COFOG szerint 2020'!F40</f>
        <v>1260000</v>
      </c>
    </row>
    <row r="39" spans="1:8" ht="24.95" customHeight="1" thickBot="1" x14ac:dyDescent="0.25">
      <c r="A39" s="72" t="s">
        <v>97</v>
      </c>
      <c r="B39" s="73" t="s">
        <v>98</v>
      </c>
      <c r="C39" s="796">
        <f>SUM('Bevételek COFOG szerint 2020'!C22)</f>
        <v>10000</v>
      </c>
      <c r="D39" s="57">
        <f t="shared" si="2"/>
        <v>0</v>
      </c>
      <c r="E39" s="871">
        <f>SUM('Bevételek COFOG szerint 2020'!E22)</f>
        <v>100</v>
      </c>
      <c r="F39" s="75">
        <f>SUM('Bevételek COFOG szerint 2020'!F22)</f>
        <v>10000</v>
      </c>
    </row>
    <row r="40" spans="1:8" ht="30" customHeight="1" thickBot="1" x14ac:dyDescent="0.25">
      <c r="A40" s="1041" t="s">
        <v>99</v>
      </c>
      <c r="B40" s="1041"/>
      <c r="C40" s="514">
        <f>SUM(C31:C39)</f>
        <v>14061000</v>
      </c>
      <c r="D40" s="69">
        <f>SUM(D31:D39)</f>
        <v>3210000</v>
      </c>
      <c r="E40" s="354">
        <f>F40/C40*100</f>
        <v>122.82910177085556</v>
      </c>
      <c r="F40" s="70">
        <f>SUM(F31:F39)</f>
        <v>17271000</v>
      </c>
    </row>
    <row r="41" spans="1:8" ht="24.95" customHeight="1" x14ac:dyDescent="0.2">
      <c r="A41" s="55" t="s">
        <v>100</v>
      </c>
      <c r="B41" s="785" t="s">
        <v>101</v>
      </c>
      <c r="C41" s="793">
        <f>'Bevételek COFOG szerint 2020'!C24</f>
        <v>21000000</v>
      </c>
      <c r="D41" s="844">
        <f t="shared" ref="D41:D46" si="3">F41-C41</f>
        <v>7380000</v>
      </c>
      <c r="E41" s="868">
        <f>'Bevételek COFOG szerint 2020'!E24</f>
        <v>135.14285714285714</v>
      </c>
      <c r="F41" s="62">
        <f>'Bevételek COFOG szerint 2020'!F24</f>
        <v>28380000</v>
      </c>
    </row>
    <row r="42" spans="1:8" ht="24.95" customHeight="1" x14ac:dyDescent="0.2">
      <c r="A42" s="55" t="s">
        <v>500</v>
      </c>
      <c r="B42" s="56" t="s">
        <v>501</v>
      </c>
      <c r="C42" s="794">
        <v>0</v>
      </c>
      <c r="D42" s="61">
        <f t="shared" si="3"/>
        <v>0</v>
      </c>
      <c r="E42" s="868">
        <v>0</v>
      </c>
      <c r="F42" s="62">
        <v>0</v>
      </c>
    </row>
    <row r="43" spans="1:8" ht="24.95" customHeight="1" x14ac:dyDescent="0.2">
      <c r="A43" s="59" t="s">
        <v>102</v>
      </c>
      <c r="B43" s="60" t="s">
        <v>103</v>
      </c>
      <c r="C43" s="794">
        <f>'Bevételek COFOG szerint 2020'!C32</f>
        <v>165100</v>
      </c>
      <c r="D43" s="845">
        <f t="shared" si="3"/>
        <v>13550</v>
      </c>
      <c r="E43" s="868">
        <f>'Bevételek COFOG szerint 2020'!E32</f>
        <v>108.20714718352514</v>
      </c>
      <c r="F43" s="62">
        <f>'Bevételek COFOG szerint 2020'!F32</f>
        <v>178650</v>
      </c>
    </row>
    <row r="44" spans="1:8" ht="24.95" customHeight="1" x14ac:dyDescent="0.2">
      <c r="A44" s="59" t="s">
        <v>473</v>
      </c>
      <c r="B44" s="60" t="s">
        <v>502</v>
      </c>
      <c r="C44" s="794">
        <f>'Bevételek COFOG szerint 2020'!C34</f>
        <v>220000</v>
      </c>
      <c r="D44" s="65">
        <f t="shared" si="3"/>
        <v>100040</v>
      </c>
      <c r="E44" s="868">
        <f>'Bevételek COFOG szerint 2020'!E34</f>
        <v>145.47272727272727</v>
      </c>
      <c r="F44" s="62">
        <f>'Bevételek COFOG szerint 2020'!F34</f>
        <v>320040</v>
      </c>
    </row>
    <row r="45" spans="1:8" ht="24.95" customHeight="1" x14ac:dyDescent="0.2">
      <c r="A45" s="63" t="s">
        <v>391</v>
      </c>
      <c r="B45" s="60" t="s">
        <v>106</v>
      </c>
      <c r="C45" s="794">
        <v>0</v>
      </c>
      <c r="D45" s="61">
        <f t="shared" si="3"/>
        <v>0</v>
      </c>
      <c r="E45" s="868">
        <v>0</v>
      </c>
      <c r="F45" s="62">
        <v>0</v>
      </c>
    </row>
    <row r="46" spans="1:8" ht="39" customHeight="1" thickBot="1" x14ac:dyDescent="0.25">
      <c r="A46" s="63" t="s">
        <v>107</v>
      </c>
      <c r="B46" s="64" t="s">
        <v>108</v>
      </c>
      <c r="C46" s="513">
        <v>0</v>
      </c>
      <c r="D46" s="57">
        <f t="shared" si="3"/>
        <v>0</v>
      </c>
      <c r="E46" s="346"/>
      <c r="F46" s="62">
        <v>0</v>
      </c>
    </row>
    <row r="47" spans="1:8" ht="28.5" customHeight="1" thickBot="1" x14ac:dyDescent="0.25">
      <c r="A47" s="1039" t="s">
        <v>109</v>
      </c>
      <c r="B47" s="1039"/>
      <c r="C47" s="515">
        <f>SUM(C41:C46)</f>
        <v>21385100</v>
      </c>
      <c r="D47" s="69">
        <f>SUM(D41:D46)</f>
        <v>7493590</v>
      </c>
      <c r="E47" s="354">
        <f>F47/C47*100</f>
        <v>135.0411735273625</v>
      </c>
      <c r="F47" s="70">
        <f>SUM(F41:F46)</f>
        <v>28878690</v>
      </c>
    </row>
    <row r="48" spans="1:8" ht="30" customHeight="1" thickBot="1" x14ac:dyDescent="0.25">
      <c r="A48" s="76" t="s">
        <v>110</v>
      </c>
      <c r="B48" s="77" t="s">
        <v>111</v>
      </c>
      <c r="C48" s="79">
        <f>'Bevételek COFOG szerint 2020'!C85</f>
        <v>126631141</v>
      </c>
      <c r="D48" s="79">
        <f>F48-C48</f>
        <v>124397420</v>
      </c>
      <c r="E48" s="874">
        <f>'Bevételek COFOG szerint 2020'!E85</f>
        <v>198.23604132256852</v>
      </c>
      <c r="F48" s="79">
        <f>'Bevételek COFOG szerint 2020'!F85</f>
        <v>251028561</v>
      </c>
    </row>
    <row r="49" spans="1:9" ht="30" customHeight="1" thickBot="1" x14ac:dyDescent="0.25">
      <c r="A49" s="312" t="s">
        <v>384</v>
      </c>
      <c r="B49" s="313" t="s">
        <v>385</v>
      </c>
      <c r="C49" s="516">
        <v>0</v>
      </c>
      <c r="D49" s="78">
        <f>SUM(F49-C49)</f>
        <v>6000000</v>
      </c>
      <c r="E49" s="355">
        <v>0</v>
      </c>
      <c r="F49" s="314">
        <f>SUM('Bevételek COFOG szerint 2020'!F79)</f>
        <v>6000000</v>
      </c>
    </row>
    <row r="50" spans="1:9" ht="24.95" customHeight="1" thickBot="1" x14ac:dyDescent="0.25">
      <c r="A50" s="1040" t="s">
        <v>112</v>
      </c>
      <c r="B50" s="1040"/>
      <c r="C50" s="517">
        <f>SUM(C14+C17+C20+C30+C40+C47+C48+C49)</f>
        <v>404275656</v>
      </c>
      <c r="D50" s="517">
        <f t="shared" ref="D50" si="4">SUM(D14+D17+D20+D30+D40+D47+D48+D49)</f>
        <v>167425008</v>
      </c>
      <c r="E50" s="518">
        <f>F50/C50*100</f>
        <v>141.41357648307172</v>
      </c>
      <c r="F50" s="493">
        <f>F14+F17+F20+F30+F40+F47+F48+F49</f>
        <v>571700664</v>
      </c>
      <c r="I50" s="80"/>
    </row>
    <row r="53" spans="1:9" x14ac:dyDescent="0.2">
      <c r="B53" s="81"/>
      <c r="C53" s="81"/>
    </row>
    <row r="54" spans="1:9" x14ac:dyDescent="0.2">
      <c r="B54" s="123" t="s">
        <v>381</v>
      </c>
      <c r="C54" s="300">
        <f>C50-'Bevételek COFOG szerint 2020'!C161</f>
        <v>0</v>
      </c>
      <c r="D54" s="300">
        <f>D50-'Bevételek COFOG szerint 2020'!D161</f>
        <v>0</v>
      </c>
      <c r="E54" s="300"/>
      <c r="F54" s="300">
        <f>F50-'Bevételek COFOG szerint 2020'!F161</f>
        <v>0</v>
      </c>
    </row>
  </sheetData>
  <mergeCells count="13">
    <mergeCell ref="A47:B47"/>
    <mergeCell ref="A50:B50"/>
    <mergeCell ref="A14:B14"/>
    <mergeCell ref="A17:B17"/>
    <mergeCell ref="A20:B20"/>
    <mergeCell ref="A30:B30"/>
    <mergeCell ref="A40:B40"/>
    <mergeCell ref="A2:F2"/>
    <mergeCell ref="A3:F3"/>
    <mergeCell ref="A5:F5"/>
    <mergeCell ref="A6:A7"/>
    <mergeCell ref="B6:B7"/>
    <mergeCell ref="C6:E6"/>
  </mergeCells>
  <pageMargins left="0.98425196850393704" right="0.59055118110236227" top="0.59055118110236227" bottom="0.59055118110236227" header="0.51181102362204722" footer="0.51181102362204722"/>
  <pageSetup paperSize="9" scale="62" firstPageNumber="0" orientation="portrait" verticalDpi="300" r:id="rId1"/>
  <headerFooter>
    <oddHeader>&amp;R2022.01.hó</odd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9"/>
  <sheetViews>
    <sheetView topLeftCell="A145" zoomScaleNormal="100" workbookViewId="0">
      <selection activeCell="F164" sqref="F164"/>
    </sheetView>
  </sheetViews>
  <sheetFormatPr defaultRowHeight="12.75" x14ac:dyDescent="0.2"/>
  <cols>
    <col min="1" max="1" width="9.7109375" customWidth="1"/>
    <col min="2" max="2" width="42.28515625" customWidth="1"/>
    <col min="3" max="3" width="17.7109375" customWidth="1"/>
    <col min="4" max="4" width="16.7109375" customWidth="1"/>
    <col min="5" max="5" width="13" customWidth="1"/>
    <col min="6" max="6" width="16.7109375" style="82" customWidth="1"/>
    <col min="7" max="7" width="8.42578125" customWidth="1"/>
    <col min="8" max="8" width="25.42578125" style="114" bestFit="1" customWidth="1"/>
    <col min="9" max="9" width="13.85546875" style="114" customWidth="1"/>
    <col min="10" max="10" width="13.140625" bestFit="1" customWidth="1"/>
    <col min="11" max="1024" width="8.42578125" customWidth="1"/>
  </cols>
  <sheetData>
    <row r="1" spans="1:10" x14ac:dyDescent="0.2">
      <c r="F1" s="320" t="s">
        <v>113</v>
      </c>
    </row>
    <row r="2" spans="1:10" ht="15.75" x14ac:dyDescent="0.25">
      <c r="A2" s="1033" t="s">
        <v>646</v>
      </c>
      <c r="B2" s="1033"/>
      <c r="C2" s="1033"/>
      <c r="D2" s="1033"/>
      <c r="E2" s="1033"/>
      <c r="F2" s="1033"/>
    </row>
    <row r="3" spans="1:10" ht="15.75" x14ac:dyDescent="0.25">
      <c r="A3" s="1033" t="s">
        <v>393</v>
      </c>
      <c r="B3" s="1033"/>
      <c r="C3" s="1033"/>
      <c r="D3" s="1033"/>
      <c r="E3" s="1033"/>
      <c r="F3" s="1033"/>
    </row>
    <row r="4" spans="1:10" ht="20.25" customHeight="1" thickBot="1" x14ac:dyDescent="0.25">
      <c r="F4" s="83" t="s">
        <v>45</v>
      </c>
    </row>
    <row r="5" spans="1:10" ht="19.5" customHeight="1" thickBot="1" x14ac:dyDescent="0.25">
      <c r="A5" s="1051" t="s">
        <v>114</v>
      </c>
      <c r="B5" s="1051"/>
      <c r="C5" s="1051"/>
      <c r="D5" s="1051"/>
      <c r="E5" s="1051"/>
      <c r="F5" s="1051"/>
    </row>
    <row r="6" spans="1:10" s="39" customFormat="1" ht="19.5" customHeight="1" thickBot="1" x14ac:dyDescent="0.25">
      <c r="A6" s="84"/>
      <c r="B6" s="84"/>
      <c r="C6" s="84"/>
      <c r="D6" s="84"/>
      <c r="E6" s="84"/>
      <c r="F6" s="84"/>
      <c r="H6" s="231"/>
      <c r="I6" s="231"/>
    </row>
    <row r="7" spans="1:10" ht="24.75" customHeight="1" thickBot="1" x14ac:dyDescent="0.25">
      <c r="A7" s="1052" t="s">
        <v>115</v>
      </c>
      <c r="B7" s="1052"/>
      <c r="C7" s="1052"/>
      <c r="D7" s="1052"/>
      <c r="E7" s="1052"/>
      <c r="F7" s="1052"/>
    </row>
    <row r="8" spans="1:10" ht="15.75" customHeight="1" thickBot="1" x14ac:dyDescent="0.25">
      <c r="A8" s="1044" t="s">
        <v>46</v>
      </c>
      <c r="B8" s="1045" t="s">
        <v>47</v>
      </c>
      <c r="C8" s="1047">
        <v>2021</v>
      </c>
      <c r="D8" s="1048"/>
      <c r="E8" s="1049"/>
      <c r="F8" s="1046" t="s">
        <v>647</v>
      </c>
    </row>
    <row r="9" spans="1:10" ht="24.75" customHeight="1" thickBot="1" x14ac:dyDescent="0.25">
      <c r="A9" s="1044"/>
      <c r="B9" s="1045"/>
      <c r="C9" s="324" t="s">
        <v>48</v>
      </c>
      <c r="D9" s="324" t="s">
        <v>519</v>
      </c>
      <c r="E9" s="324" t="s">
        <v>387</v>
      </c>
      <c r="F9" s="1046"/>
    </row>
    <row r="10" spans="1:10" ht="24.75" customHeight="1" x14ac:dyDescent="0.2">
      <c r="A10" s="85" t="s">
        <v>116</v>
      </c>
      <c r="B10" s="86" t="s">
        <v>117</v>
      </c>
      <c r="C10" s="520">
        <v>0</v>
      </c>
      <c r="D10" s="87">
        <f t="shared" ref="D10:D24" si="0">F10-C10</f>
        <v>0</v>
      </c>
      <c r="E10" s="347"/>
      <c r="F10" s="88">
        <v>0</v>
      </c>
    </row>
    <row r="11" spans="1:10" ht="34.5" customHeight="1" x14ac:dyDescent="0.2">
      <c r="A11" s="484" t="s">
        <v>60</v>
      </c>
      <c r="B11" s="491" t="s">
        <v>61</v>
      </c>
      <c r="C11" s="407">
        <v>0</v>
      </c>
      <c r="D11" s="87">
        <f t="shared" si="0"/>
        <v>0</v>
      </c>
      <c r="E11" s="347"/>
      <c r="F11" s="91">
        <v>0</v>
      </c>
    </row>
    <row r="12" spans="1:10" ht="22.5" customHeight="1" x14ac:dyDescent="0.2">
      <c r="A12" s="484" t="s">
        <v>62</v>
      </c>
      <c r="B12" s="491" t="s">
        <v>63</v>
      </c>
      <c r="C12" s="407">
        <v>0</v>
      </c>
      <c r="D12" s="87">
        <f t="shared" si="0"/>
        <v>0</v>
      </c>
      <c r="E12" s="347"/>
      <c r="F12" s="91">
        <v>0</v>
      </c>
    </row>
    <row r="13" spans="1:10" ht="33.75" customHeight="1" x14ac:dyDescent="0.2">
      <c r="A13" s="484" t="s">
        <v>107</v>
      </c>
      <c r="B13" s="491" t="s">
        <v>108</v>
      </c>
      <c r="C13" s="407">
        <v>0</v>
      </c>
      <c r="D13" s="87">
        <f t="shared" si="0"/>
        <v>0</v>
      </c>
      <c r="E13" s="347"/>
      <c r="F13" s="91"/>
      <c r="H13" s="231"/>
      <c r="I13" s="231"/>
      <c r="J13" s="92"/>
    </row>
    <row r="14" spans="1:10" ht="12.75" customHeight="1" x14ac:dyDescent="0.2">
      <c r="A14" s="484" t="s">
        <v>118</v>
      </c>
      <c r="B14" s="491" t="s">
        <v>81</v>
      </c>
      <c r="C14" s="407">
        <v>0</v>
      </c>
      <c r="D14" s="87">
        <f t="shared" si="0"/>
        <v>0</v>
      </c>
      <c r="E14" s="347"/>
      <c r="F14" s="91"/>
    </row>
    <row r="15" spans="1:10" ht="12.75" customHeight="1" x14ac:dyDescent="0.2">
      <c r="A15" s="484" t="s">
        <v>83</v>
      </c>
      <c r="B15" s="491" t="s">
        <v>84</v>
      </c>
      <c r="C15" s="407">
        <v>100000</v>
      </c>
      <c r="D15" s="87">
        <f t="shared" si="0"/>
        <v>0</v>
      </c>
      <c r="E15" s="347">
        <f t="shared" ref="E15:E34" si="1">F15/C15*100</f>
        <v>100</v>
      </c>
      <c r="F15" s="91">
        <v>100000</v>
      </c>
      <c r="G15" t="s">
        <v>603</v>
      </c>
    </row>
    <row r="16" spans="1:10" ht="12.75" customHeight="1" x14ac:dyDescent="0.2">
      <c r="A16" s="489" t="s">
        <v>471</v>
      </c>
      <c r="B16" s="491" t="s">
        <v>472</v>
      </c>
      <c r="C16" s="407">
        <v>1620000</v>
      </c>
      <c r="D16" s="87">
        <f t="shared" si="0"/>
        <v>0</v>
      </c>
      <c r="E16" s="347">
        <f t="shared" si="1"/>
        <v>100</v>
      </c>
      <c r="F16" s="91">
        <v>1620000</v>
      </c>
    </row>
    <row r="17" spans="1:11" ht="12.75" customHeight="1" x14ac:dyDescent="0.2">
      <c r="A17" s="1053" t="s">
        <v>85</v>
      </c>
      <c r="B17" s="490" t="s">
        <v>86</v>
      </c>
      <c r="C17" s="521">
        <v>200000</v>
      </c>
      <c r="D17" s="87">
        <f t="shared" si="0"/>
        <v>0</v>
      </c>
      <c r="E17" s="347"/>
      <c r="F17" s="462">
        <v>200000</v>
      </c>
    </row>
    <row r="18" spans="1:11" ht="12.75" customHeight="1" x14ac:dyDescent="0.2">
      <c r="A18" s="1053"/>
      <c r="B18" s="476"/>
      <c r="C18" s="522"/>
      <c r="D18" s="87">
        <f t="shared" si="0"/>
        <v>0</v>
      </c>
      <c r="E18" s="347"/>
      <c r="F18" s="462"/>
    </row>
    <row r="19" spans="1:11" ht="12.75" customHeight="1" x14ac:dyDescent="0.2">
      <c r="A19" s="484" t="s">
        <v>119</v>
      </c>
      <c r="B19" s="490" t="s">
        <v>90</v>
      </c>
      <c r="C19" s="521"/>
      <c r="D19" s="87">
        <f t="shared" si="0"/>
        <v>0</v>
      </c>
      <c r="E19" s="347"/>
      <c r="F19" s="462"/>
    </row>
    <row r="20" spans="1:11" ht="12.75" customHeight="1" x14ac:dyDescent="0.2">
      <c r="A20" s="393" t="s">
        <v>91</v>
      </c>
      <c r="B20" s="730" t="s">
        <v>92</v>
      </c>
      <c r="C20" s="521"/>
      <c r="D20" s="87">
        <f t="shared" si="0"/>
        <v>0</v>
      </c>
      <c r="E20" s="347">
        <v>0</v>
      </c>
      <c r="F20" s="462"/>
      <c r="G20" s="114"/>
      <c r="I20" s="707"/>
      <c r="J20" s="49"/>
    </row>
    <row r="21" spans="1:11" ht="12.75" customHeight="1" x14ac:dyDescent="0.25">
      <c r="A21" s="393" t="s">
        <v>93</v>
      </c>
      <c r="B21" s="730" t="s">
        <v>94</v>
      </c>
      <c r="C21" s="521"/>
      <c r="D21" s="87">
        <f t="shared" si="0"/>
        <v>0</v>
      </c>
      <c r="E21" s="347">
        <v>0</v>
      </c>
      <c r="F21" s="462"/>
      <c r="I21" s="708"/>
      <c r="J21" s="709"/>
    </row>
    <row r="22" spans="1:11" ht="12.75" customHeight="1" x14ac:dyDescent="0.25">
      <c r="A22" s="484" t="s">
        <v>95</v>
      </c>
      <c r="B22" s="491" t="s">
        <v>96</v>
      </c>
      <c r="C22" s="407">
        <v>10000</v>
      </c>
      <c r="D22" s="87">
        <f t="shared" si="0"/>
        <v>0</v>
      </c>
      <c r="E22" s="347">
        <f t="shared" si="1"/>
        <v>100</v>
      </c>
      <c r="F22" s="91">
        <v>10000</v>
      </c>
      <c r="I22" s="710"/>
      <c r="J22" s="711"/>
    </row>
    <row r="23" spans="1:11" ht="12.75" customHeight="1" x14ac:dyDescent="0.25">
      <c r="A23" s="94" t="s">
        <v>95</v>
      </c>
      <c r="B23" s="490"/>
      <c r="C23" s="521"/>
      <c r="D23" s="87">
        <f t="shared" si="0"/>
        <v>0</v>
      </c>
      <c r="E23" s="347"/>
      <c r="F23" s="462"/>
      <c r="I23" s="712"/>
      <c r="J23" s="711"/>
    </row>
    <row r="24" spans="1:11" ht="12.75" customHeight="1" x14ac:dyDescent="0.25">
      <c r="A24" s="488" t="s">
        <v>100</v>
      </c>
      <c r="B24" s="452" t="s">
        <v>101</v>
      </c>
      <c r="C24" s="523">
        <v>21000000</v>
      </c>
      <c r="D24" s="87">
        <f t="shared" si="0"/>
        <v>7380000</v>
      </c>
      <c r="E24" s="347">
        <f t="shared" si="1"/>
        <v>135.14285714285714</v>
      </c>
      <c r="F24" s="479">
        <f>SUM(F25:F31)</f>
        <v>28380000</v>
      </c>
      <c r="G24" s="295"/>
      <c r="H24" s="469"/>
      <c r="I24" s="712"/>
      <c r="J24" s="711"/>
      <c r="K24" s="114"/>
    </row>
    <row r="25" spans="1:11" ht="12.75" customHeight="1" x14ac:dyDescent="0.25">
      <c r="A25" s="372"/>
      <c r="B25" s="477" t="s">
        <v>715</v>
      </c>
      <c r="C25" s="524"/>
      <c r="D25" s="87"/>
      <c r="E25" s="347"/>
      <c r="F25" s="478">
        <v>12500000</v>
      </c>
      <c r="G25" s="295"/>
      <c r="H25" s="469"/>
      <c r="I25" s="712"/>
      <c r="J25" s="711"/>
      <c r="K25" s="114"/>
    </row>
    <row r="26" spans="1:11" ht="12.75" customHeight="1" x14ac:dyDescent="0.25">
      <c r="A26" s="372"/>
      <c r="B26" s="477" t="s">
        <v>717</v>
      </c>
      <c r="C26" s="524"/>
      <c r="D26" s="87"/>
      <c r="E26" s="347"/>
      <c r="F26" s="478">
        <v>2000000</v>
      </c>
      <c r="G26" s="295"/>
      <c r="H26" s="469"/>
      <c r="I26" s="712"/>
      <c r="J26" s="711"/>
      <c r="K26" s="114"/>
    </row>
    <row r="27" spans="1:11" ht="12.75" customHeight="1" x14ac:dyDescent="0.2">
      <c r="A27" s="372"/>
      <c r="B27" s="477" t="s">
        <v>719</v>
      </c>
      <c r="C27" s="524"/>
      <c r="D27" s="87"/>
      <c r="E27" s="347"/>
      <c r="F27" s="478">
        <v>630000</v>
      </c>
      <c r="G27" s="295"/>
      <c r="H27" s="469"/>
      <c r="I27" s="469"/>
      <c r="J27" s="71"/>
      <c r="K27" s="114"/>
    </row>
    <row r="28" spans="1:11" ht="12.75" customHeight="1" x14ac:dyDescent="0.2">
      <c r="A28" s="372"/>
      <c r="B28" s="477" t="s">
        <v>718</v>
      </c>
      <c r="C28" s="524"/>
      <c r="D28" s="87"/>
      <c r="E28" s="347"/>
      <c r="F28" s="478">
        <v>4300000</v>
      </c>
      <c r="G28" s="295"/>
      <c r="H28" s="114" t="s">
        <v>484</v>
      </c>
      <c r="I28" s="469"/>
      <c r="J28" s="71"/>
      <c r="K28" s="114"/>
    </row>
    <row r="29" spans="1:11" ht="12.75" customHeight="1" x14ac:dyDescent="0.2">
      <c r="A29" s="372"/>
      <c r="B29" s="477" t="s">
        <v>720</v>
      </c>
      <c r="C29" s="524"/>
      <c r="D29" s="87"/>
      <c r="E29" s="347"/>
      <c r="F29" s="478">
        <v>4150000</v>
      </c>
      <c r="G29" s="295"/>
      <c r="H29" s="469"/>
      <c r="I29" s="469"/>
      <c r="J29" s="71"/>
      <c r="K29" s="114"/>
    </row>
    <row r="30" spans="1:11" ht="12.75" customHeight="1" x14ac:dyDescent="0.2">
      <c r="A30" s="372"/>
      <c r="B30" s="477" t="s">
        <v>602</v>
      </c>
      <c r="C30" s="524"/>
      <c r="D30" s="87"/>
      <c r="E30" s="347"/>
      <c r="F30" s="478">
        <v>2800000</v>
      </c>
      <c r="G30" s="295"/>
      <c r="H30" s="469" t="s">
        <v>705</v>
      </c>
      <c r="I30" s="997">
        <v>163000</v>
      </c>
      <c r="J30" s="71"/>
      <c r="K30" s="114"/>
    </row>
    <row r="31" spans="1:11" ht="12.75" customHeight="1" x14ac:dyDescent="0.2">
      <c r="A31" s="153"/>
      <c r="B31" s="477" t="s">
        <v>721</v>
      </c>
      <c r="C31" s="524"/>
      <c r="D31" s="87"/>
      <c r="E31" s="347"/>
      <c r="F31" s="478">
        <v>2000000</v>
      </c>
      <c r="G31" s="295"/>
      <c r="H31" s="469" t="s">
        <v>706</v>
      </c>
      <c r="I31" s="997">
        <v>15650</v>
      </c>
      <c r="J31" s="71"/>
      <c r="K31" s="114"/>
    </row>
    <row r="32" spans="1:11" ht="21" x14ac:dyDescent="0.2">
      <c r="A32" s="153" t="s">
        <v>102</v>
      </c>
      <c r="B32" s="490" t="s">
        <v>103</v>
      </c>
      <c r="C32" s="521">
        <v>165100</v>
      </c>
      <c r="D32" s="87">
        <f>F32-C32</f>
        <v>13550</v>
      </c>
      <c r="E32" s="347">
        <f t="shared" si="1"/>
        <v>108.20714718352514</v>
      </c>
      <c r="F32" s="462">
        <v>178650</v>
      </c>
      <c r="I32" s="998">
        <f>SUM(I30:I31)</f>
        <v>178650</v>
      </c>
      <c r="J32" s="71"/>
    </row>
    <row r="33" spans="1:10" x14ac:dyDescent="0.2">
      <c r="A33" s="484" t="s">
        <v>104</v>
      </c>
      <c r="B33" s="491" t="s">
        <v>105</v>
      </c>
      <c r="C33" s="407"/>
      <c r="D33" s="87">
        <f>F33-C33</f>
        <v>0</v>
      </c>
      <c r="E33" s="347"/>
      <c r="F33" s="91"/>
      <c r="J33" t="s">
        <v>606</v>
      </c>
    </row>
    <row r="34" spans="1:10" ht="21.75" thickBot="1" x14ac:dyDescent="0.25">
      <c r="A34" s="94" t="s">
        <v>473</v>
      </c>
      <c r="B34" s="390" t="s">
        <v>474</v>
      </c>
      <c r="C34" s="525">
        <v>220000</v>
      </c>
      <c r="D34" s="87">
        <f>F34-C34</f>
        <v>100040</v>
      </c>
      <c r="E34" s="347">
        <f t="shared" si="1"/>
        <v>145.47272727272727</v>
      </c>
      <c r="F34" s="463">
        <v>320040</v>
      </c>
      <c r="G34" s="39"/>
      <c r="H34" s="114" t="s">
        <v>604</v>
      </c>
      <c r="I34" s="470">
        <v>199940</v>
      </c>
      <c r="J34" s="80">
        <v>100020</v>
      </c>
    </row>
    <row r="35" spans="1:10" ht="19.5" customHeight="1" thickBot="1" x14ac:dyDescent="0.25">
      <c r="A35" s="1042" t="s">
        <v>120</v>
      </c>
      <c r="B35" s="1042"/>
      <c r="C35" s="918">
        <f>SUM(C15+C16+C17+C22+C24+C32+C34)</f>
        <v>23315100</v>
      </c>
      <c r="D35" s="918">
        <f>SUM(D10:D34)</f>
        <v>7493590</v>
      </c>
      <c r="E35" s="919">
        <f>F35/C35*100</f>
        <v>132.14050122023923</v>
      </c>
      <c r="F35" s="920">
        <f>F11+F15+F16+F17+F19+F20+F21+F22+F24+F32+F34</f>
        <v>30808690</v>
      </c>
      <c r="H35" s="114" t="s">
        <v>605</v>
      </c>
      <c r="I35" s="470">
        <v>140000</v>
      </c>
      <c r="J35" s="80">
        <v>120000</v>
      </c>
    </row>
    <row r="36" spans="1:10" ht="24" customHeight="1" thickBot="1" x14ac:dyDescent="0.25">
      <c r="A36" s="1043" t="s">
        <v>284</v>
      </c>
      <c r="B36" s="1043"/>
      <c r="C36" s="1043"/>
      <c r="D36" s="1043"/>
      <c r="E36" s="1043"/>
      <c r="F36" s="1043"/>
      <c r="H36" s="114" t="s">
        <v>704</v>
      </c>
      <c r="I36" s="470">
        <v>483330</v>
      </c>
      <c r="J36" s="80">
        <v>100020</v>
      </c>
    </row>
    <row r="37" spans="1:10" ht="17.25" customHeight="1" thickBot="1" x14ac:dyDescent="0.25">
      <c r="A37" s="1044" t="s">
        <v>46</v>
      </c>
      <c r="B37" s="1045" t="s">
        <v>47</v>
      </c>
      <c r="C37" s="1047">
        <v>2021</v>
      </c>
      <c r="D37" s="1048"/>
      <c r="E37" s="1049"/>
      <c r="F37" s="1046" t="s">
        <v>647</v>
      </c>
      <c r="J37" s="122">
        <f>SUM(J34:J36)</f>
        <v>320040</v>
      </c>
    </row>
    <row r="38" spans="1:10" ht="26.25" customHeight="1" thickBot="1" x14ac:dyDescent="0.25">
      <c r="A38" s="1044"/>
      <c r="B38" s="1045"/>
      <c r="C38" s="324" t="s">
        <v>48</v>
      </c>
      <c r="D38" s="324" t="s">
        <v>519</v>
      </c>
      <c r="E38" s="324" t="s">
        <v>387</v>
      </c>
      <c r="F38" s="1046"/>
    </row>
    <row r="39" spans="1:10" ht="16.5" customHeight="1" x14ac:dyDescent="0.2">
      <c r="A39" s="431" t="s">
        <v>85</v>
      </c>
      <c r="B39" s="467" t="s">
        <v>531</v>
      </c>
      <c r="C39" s="467">
        <v>970000</v>
      </c>
      <c r="D39" s="843">
        <f>F39-C39</f>
        <v>30000</v>
      </c>
      <c r="E39" s="526">
        <f>F39/C39*100</f>
        <v>103.09278350515463</v>
      </c>
      <c r="F39" s="468">
        <v>1000000</v>
      </c>
      <c r="I39" s="470"/>
    </row>
    <row r="40" spans="1:10" ht="16.5" customHeight="1" thickBot="1" x14ac:dyDescent="0.25">
      <c r="A40" s="409" t="s">
        <v>95</v>
      </c>
      <c r="B40" s="464" t="s">
        <v>532</v>
      </c>
      <c r="C40" s="464">
        <v>1260000</v>
      </c>
      <c r="D40" s="370">
        <f>F40-C40</f>
        <v>0</v>
      </c>
      <c r="E40" s="846">
        <f>F40/C40*100</f>
        <v>100</v>
      </c>
      <c r="F40" s="466">
        <v>1260000</v>
      </c>
      <c r="H40" s="114" t="s">
        <v>707</v>
      </c>
      <c r="I40" s="470">
        <v>60000</v>
      </c>
    </row>
    <row r="41" spans="1:10" ht="18" customHeight="1" thickBot="1" x14ac:dyDescent="0.25">
      <c r="A41" s="1054" t="s">
        <v>120</v>
      </c>
      <c r="B41" s="1054"/>
      <c r="C41" s="918">
        <f>C39+C40</f>
        <v>2230000</v>
      </c>
      <c r="D41" s="918">
        <f>SUM(D39:D40)</f>
        <v>30000</v>
      </c>
      <c r="E41" s="919">
        <f>E39</f>
        <v>103.09278350515463</v>
      </c>
      <c r="F41" s="920">
        <f>SUM(F39:F40)</f>
        <v>2260000</v>
      </c>
      <c r="H41" s="114" t="s">
        <v>708</v>
      </c>
      <c r="I41" s="470">
        <v>50000</v>
      </c>
    </row>
    <row r="42" spans="1:10" ht="24" customHeight="1" thickBot="1" x14ac:dyDescent="0.25">
      <c r="A42" s="1043" t="s">
        <v>122</v>
      </c>
      <c r="B42" s="1043"/>
      <c r="C42" s="1043"/>
      <c r="D42" s="1043"/>
      <c r="E42" s="1043"/>
      <c r="F42" s="1043"/>
      <c r="H42" s="114" t="s">
        <v>709</v>
      </c>
      <c r="I42" s="999">
        <v>15000</v>
      </c>
    </row>
    <row r="43" spans="1:10" ht="15.75" customHeight="1" thickBot="1" x14ac:dyDescent="0.25">
      <c r="A43" s="1044" t="s">
        <v>46</v>
      </c>
      <c r="B43" s="1045" t="s">
        <v>47</v>
      </c>
      <c r="C43" s="1047">
        <v>2021</v>
      </c>
      <c r="D43" s="1048"/>
      <c r="E43" s="1049"/>
      <c r="F43" s="1046" t="s">
        <v>647</v>
      </c>
      <c r="I43" s="998">
        <f>SUM(I39:I42)</f>
        <v>125000</v>
      </c>
      <c r="J43" s="122">
        <f>SUM(I43*12)</f>
        <v>1500000</v>
      </c>
    </row>
    <row r="44" spans="1:10" ht="27.75" customHeight="1" thickBot="1" x14ac:dyDescent="0.25">
      <c r="A44" s="1044"/>
      <c r="B44" s="1045"/>
      <c r="C44" s="324" t="s">
        <v>48</v>
      </c>
      <c r="D44" s="324" t="s">
        <v>519</v>
      </c>
      <c r="E44" s="324" t="s">
        <v>387</v>
      </c>
      <c r="F44" s="1046"/>
    </row>
    <row r="45" spans="1:10" ht="27" customHeight="1" x14ac:dyDescent="0.2">
      <c r="A45" s="898" t="s">
        <v>49</v>
      </c>
      <c r="B45" s="899" t="s">
        <v>50</v>
      </c>
      <c r="C45" s="900">
        <v>92228377</v>
      </c>
      <c r="D45" s="901">
        <f t="shared" ref="D45:D79" si="2">F45-C45</f>
        <v>571504</v>
      </c>
      <c r="E45" s="902">
        <f>F45/C45*100</f>
        <v>100.61966177719901</v>
      </c>
      <c r="F45" s="903">
        <f>SUM(F46:F55)</f>
        <v>92799881</v>
      </c>
      <c r="H45" s="114" t="s">
        <v>711</v>
      </c>
      <c r="I45" s="470">
        <v>45000</v>
      </c>
    </row>
    <row r="46" spans="1:10" ht="27" customHeight="1" x14ac:dyDescent="0.2">
      <c r="A46" s="471" t="s">
        <v>49</v>
      </c>
      <c r="B46" s="93" t="s">
        <v>475</v>
      </c>
      <c r="C46" s="893">
        <v>69696750</v>
      </c>
      <c r="D46" s="102">
        <f t="shared" si="2"/>
        <v>425830</v>
      </c>
      <c r="E46" s="895"/>
      <c r="F46" s="472">
        <v>70122580</v>
      </c>
      <c r="H46" s="114" t="s">
        <v>710</v>
      </c>
      <c r="I46" s="470">
        <v>30000</v>
      </c>
    </row>
    <row r="47" spans="1:10" ht="27" customHeight="1" x14ac:dyDescent="0.2">
      <c r="A47" s="100" t="s">
        <v>49</v>
      </c>
      <c r="B47" s="93" t="s">
        <v>123</v>
      </c>
      <c r="C47" s="894">
        <v>4304160</v>
      </c>
      <c r="D47" s="102">
        <f t="shared" si="2"/>
        <v>0</v>
      </c>
      <c r="E47" s="895"/>
      <c r="F47" s="101">
        <v>4304160</v>
      </c>
      <c r="H47" s="114" t="s">
        <v>712</v>
      </c>
      <c r="I47" s="999">
        <v>30000</v>
      </c>
      <c r="J47" s="122">
        <f>SUM(I48*12)</f>
        <v>1260000</v>
      </c>
    </row>
    <row r="48" spans="1:10" ht="20.100000000000001" customHeight="1" x14ac:dyDescent="0.2">
      <c r="A48" s="100" t="s">
        <v>49</v>
      </c>
      <c r="B48" s="93" t="s">
        <v>124</v>
      </c>
      <c r="C48" s="894">
        <v>5216000</v>
      </c>
      <c r="D48" s="102">
        <f t="shared" si="2"/>
        <v>0</v>
      </c>
      <c r="E48" s="895"/>
      <c r="F48" s="101">
        <v>5216000</v>
      </c>
      <c r="I48" s="998">
        <f>SUM(I45:I47)</f>
        <v>105000</v>
      </c>
    </row>
    <row r="49" spans="1:6" ht="20.100000000000001" customHeight="1" x14ac:dyDescent="0.2">
      <c r="A49" s="100" t="s">
        <v>49</v>
      </c>
      <c r="B49" s="93" t="s">
        <v>125</v>
      </c>
      <c r="C49" s="894">
        <v>718911</v>
      </c>
      <c r="D49" s="102">
        <f t="shared" si="2"/>
        <v>0</v>
      </c>
      <c r="E49" s="895"/>
      <c r="F49" s="101">
        <v>718911</v>
      </c>
    </row>
    <row r="50" spans="1:6" ht="20.100000000000001" customHeight="1" x14ac:dyDescent="0.2">
      <c r="A50" s="100" t="s">
        <v>49</v>
      </c>
      <c r="B50" s="93" t="s">
        <v>126</v>
      </c>
      <c r="C50" s="894">
        <v>4205856</v>
      </c>
      <c r="D50" s="102">
        <f t="shared" si="2"/>
        <v>148224</v>
      </c>
      <c r="E50" s="895"/>
      <c r="F50" s="101">
        <v>4354080</v>
      </c>
    </row>
    <row r="51" spans="1:6" ht="20.100000000000001" customHeight="1" x14ac:dyDescent="0.2">
      <c r="A51" s="100" t="s">
        <v>49</v>
      </c>
      <c r="B51" s="93" t="s">
        <v>559</v>
      </c>
      <c r="C51" s="894">
        <v>8000000</v>
      </c>
      <c r="D51" s="102">
        <f t="shared" si="2"/>
        <v>0</v>
      </c>
      <c r="E51" s="895"/>
      <c r="F51" s="101">
        <v>8000000</v>
      </c>
    </row>
    <row r="52" spans="1:6" ht="20.100000000000001" customHeight="1" x14ac:dyDescent="0.2">
      <c r="A52" s="100" t="s">
        <v>49</v>
      </c>
      <c r="B52" s="93" t="s">
        <v>560</v>
      </c>
      <c r="C52" s="894">
        <v>86700</v>
      </c>
      <c r="D52" s="102">
        <f t="shared" si="2"/>
        <v>-2550</v>
      </c>
      <c r="E52" s="895"/>
      <c r="F52" s="101">
        <v>84150</v>
      </c>
    </row>
    <row r="53" spans="1:6" ht="20.100000000000001" customHeight="1" x14ac:dyDescent="0.2">
      <c r="A53" s="100" t="s">
        <v>49</v>
      </c>
      <c r="B53" s="93" t="s">
        <v>476</v>
      </c>
      <c r="C53" s="894">
        <v>0</v>
      </c>
      <c r="D53" s="102">
        <f t="shared" si="2"/>
        <v>0</v>
      </c>
      <c r="E53" s="895"/>
      <c r="F53" s="101">
        <v>0</v>
      </c>
    </row>
    <row r="54" spans="1:6" ht="20.100000000000001" customHeight="1" x14ac:dyDescent="0.2">
      <c r="A54" s="100" t="s">
        <v>49</v>
      </c>
      <c r="B54" s="93" t="s">
        <v>127</v>
      </c>
      <c r="C54" s="894">
        <v>0</v>
      </c>
      <c r="D54" s="102">
        <f t="shared" si="2"/>
        <v>0</v>
      </c>
      <c r="E54" s="895"/>
      <c r="F54" s="101">
        <v>0</v>
      </c>
    </row>
    <row r="55" spans="1:6" ht="20.100000000000001" customHeight="1" x14ac:dyDescent="0.2">
      <c r="A55" s="100" t="s">
        <v>49</v>
      </c>
      <c r="B55" s="93" t="s">
        <v>478</v>
      </c>
      <c r="C55" s="894">
        <v>0</v>
      </c>
      <c r="D55" s="102">
        <f t="shared" si="2"/>
        <v>0</v>
      </c>
      <c r="E55" s="896"/>
      <c r="F55" s="101">
        <v>0</v>
      </c>
    </row>
    <row r="56" spans="1:6" ht="27" customHeight="1" x14ac:dyDescent="0.2">
      <c r="A56" s="904" t="s">
        <v>51</v>
      </c>
      <c r="B56" s="905" t="s">
        <v>128</v>
      </c>
      <c r="C56" s="906">
        <f>SUM(C57:C60)</f>
        <v>52815870</v>
      </c>
      <c r="D56" s="907">
        <f t="shared" si="2"/>
        <v>3948580</v>
      </c>
      <c r="E56" s="908">
        <f>F56/C56*100</f>
        <v>107.4761241270853</v>
      </c>
      <c r="F56" s="909">
        <f>SUM(F57:F60)</f>
        <v>56764450</v>
      </c>
    </row>
    <row r="57" spans="1:6" ht="20.100000000000001" customHeight="1" x14ac:dyDescent="0.2">
      <c r="A57" s="100" t="s">
        <v>51</v>
      </c>
      <c r="B57" s="93" t="s">
        <v>648</v>
      </c>
      <c r="C57" s="894">
        <v>6944620</v>
      </c>
      <c r="D57" s="102">
        <f t="shared" si="2"/>
        <v>645380</v>
      </c>
      <c r="E57" s="895"/>
      <c r="F57" s="101">
        <v>7590000</v>
      </c>
    </row>
    <row r="58" spans="1:6" ht="20.100000000000001" customHeight="1" x14ac:dyDescent="0.2">
      <c r="A58" s="100" t="s">
        <v>51</v>
      </c>
      <c r="B58" s="93" t="s">
        <v>649</v>
      </c>
      <c r="C58" s="894">
        <v>32572050</v>
      </c>
      <c r="D58" s="102">
        <f t="shared" si="2"/>
        <v>0</v>
      </c>
      <c r="E58" s="895"/>
      <c r="F58" s="101">
        <v>32572050</v>
      </c>
    </row>
    <row r="59" spans="1:6" ht="20.100000000000001" customHeight="1" x14ac:dyDescent="0.2">
      <c r="A59" s="100" t="s">
        <v>51</v>
      </c>
      <c r="B59" s="93" t="s">
        <v>651</v>
      </c>
      <c r="C59" s="894">
        <v>1623200</v>
      </c>
      <c r="D59" s="102">
        <f>F59-C59</f>
        <v>1623200</v>
      </c>
      <c r="E59" s="895"/>
      <c r="F59" s="101">
        <v>3246400</v>
      </c>
    </row>
    <row r="60" spans="1:6" ht="20.100000000000001" customHeight="1" x14ac:dyDescent="0.2">
      <c r="A60" s="100" t="s">
        <v>51</v>
      </c>
      <c r="B60" s="93" t="s">
        <v>650</v>
      </c>
      <c r="C60" s="894">
        <v>11676000</v>
      </c>
      <c r="D60" s="102">
        <f>F60-C60</f>
        <v>1680000</v>
      </c>
      <c r="E60" s="897"/>
      <c r="F60" s="101">
        <v>13356000</v>
      </c>
    </row>
    <row r="61" spans="1:6" ht="34.5" customHeight="1" x14ac:dyDescent="0.2">
      <c r="A61" s="910" t="s">
        <v>53</v>
      </c>
      <c r="B61" s="911" t="s">
        <v>654</v>
      </c>
      <c r="C61" s="912">
        <f>SUM(C62:C65)</f>
        <v>22349000</v>
      </c>
      <c r="D61" s="907">
        <f t="shared" si="2"/>
        <v>1145000</v>
      </c>
      <c r="E61" s="908">
        <f>F61/C61*100</f>
        <v>105.12327173475325</v>
      </c>
      <c r="F61" s="913">
        <f>SUM(F62:F65)</f>
        <v>23494000</v>
      </c>
    </row>
    <row r="62" spans="1:6" ht="20.100000000000001" customHeight="1" x14ac:dyDescent="0.2">
      <c r="A62" s="103" t="s">
        <v>53</v>
      </c>
      <c r="B62" s="93" t="s">
        <v>129</v>
      </c>
      <c r="C62" s="527">
        <v>9505000</v>
      </c>
      <c r="D62" s="102">
        <f>F62-C62</f>
        <v>966000</v>
      </c>
      <c r="E62" s="917"/>
      <c r="F62" s="101">
        <v>10471000</v>
      </c>
    </row>
    <row r="63" spans="1:6" ht="20.100000000000001" customHeight="1" x14ac:dyDescent="0.2">
      <c r="A63" s="103" t="s">
        <v>53</v>
      </c>
      <c r="B63" s="93" t="s">
        <v>132</v>
      </c>
      <c r="C63" s="527">
        <v>0</v>
      </c>
      <c r="D63" s="102">
        <f t="shared" ref="D63:D66" si="3">F63-C63</f>
        <v>0</v>
      </c>
      <c r="E63" s="917"/>
      <c r="F63" s="101">
        <v>0</v>
      </c>
    </row>
    <row r="64" spans="1:6" ht="20.100000000000001" customHeight="1" x14ac:dyDescent="0.2">
      <c r="A64" s="103" t="s">
        <v>53</v>
      </c>
      <c r="B64" s="93" t="s">
        <v>477</v>
      </c>
      <c r="C64" s="527">
        <v>12780000</v>
      </c>
      <c r="D64" s="102">
        <f t="shared" si="3"/>
        <v>0</v>
      </c>
      <c r="E64" s="917"/>
      <c r="F64" s="101">
        <v>12780000</v>
      </c>
    </row>
    <row r="65" spans="1:11" ht="20.100000000000001" customHeight="1" x14ac:dyDescent="0.2">
      <c r="A65" s="103" t="s">
        <v>53</v>
      </c>
      <c r="B65" s="93" t="s">
        <v>521</v>
      </c>
      <c r="C65" s="527">
        <v>64000</v>
      </c>
      <c r="D65" s="102">
        <f t="shared" si="3"/>
        <v>179000</v>
      </c>
      <c r="E65" s="917"/>
      <c r="F65" s="101">
        <v>243000</v>
      </c>
    </row>
    <row r="66" spans="1:11" ht="34.5" customHeight="1" x14ac:dyDescent="0.2">
      <c r="A66" s="914" t="s">
        <v>652</v>
      </c>
      <c r="B66" s="911" t="s">
        <v>653</v>
      </c>
      <c r="C66" s="912">
        <f>SUM(C67:C69)</f>
        <v>17719658</v>
      </c>
      <c r="D66" s="915">
        <f t="shared" si="3"/>
        <v>-2928341</v>
      </c>
      <c r="E66" s="908">
        <f t="shared" ref="E66" si="4">F66/C66*100</f>
        <v>83.47405463468877</v>
      </c>
      <c r="F66" s="913">
        <f>SUM(F67:F69)</f>
        <v>14791317</v>
      </c>
    </row>
    <row r="67" spans="1:11" ht="24" customHeight="1" x14ac:dyDescent="0.2">
      <c r="A67" s="100" t="s">
        <v>652</v>
      </c>
      <c r="B67" s="93" t="s">
        <v>130</v>
      </c>
      <c r="C67" s="527">
        <v>11975040</v>
      </c>
      <c r="D67" s="102">
        <f t="shared" si="2"/>
        <v>1016400</v>
      </c>
      <c r="E67" s="349"/>
      <c r="F67" s="101">
        <v>12991440</v>
      </c>
    </row>
    <row r="68" spans="1:11" ht="20.100000000000001" customHeight="1" x14ac:dyDescent="0.2">
      <c r="A68" s="100" t="s">
        <v>652</v>
      </c>
      <c r="B68" s="93" t="s">
        <v>131</v>
      </c>
      <c r="C68" s="527">
        <v>5744618</v>
      </c>
      <c r="D68" s="102">
        <f t="shared" si="2"/>
        <v>-3944741</v>
      </c>
      <c r="E68" s="349"/>
      <c r="F68" s="101">
        <v>1799877</v>
      </c>
    </row>
    <row r="69" spans="1:11" ht="20.100000000000001" customHeight="1" x14ac:dyDescent="0.2">
      <c r="A69" s="100" t="s">
        <v>652</v>
      </c>
      <c r="B69" s="93" t="s">
        <v>655</v>
      </c>
      <c r="C69" s="527">
        <v>0</v>
      </c>
      <c r="D69" s="102">
        <f t="shared" si="2"/>
        <v>0</v>
      </c>
      <c r="E69" s="349"/>
      <c r="F69" s="101">
        <v>0</v>
      </c>
    </row>
    <row r="70" spans="1:11" ht="27.75" customHeight="1" x14ac:dyDescent="0.2">
      <c r="A70" s="916" t="s">
        <v>55</v>
      </c>
      <c r="B70" s="899" t="s">
        <v>56</v>
      </c>
      <c r="C70" s="900">
        <v>5518310</v>
      </c>
      <c r="D70" s="901">
        <f t="shared" si="2"/>
        <v>135905</v>
      </c>
      <c r="E70" s="902">
        <f>F70/C70*100</f>
        <v>102.46280111120979</v>
      </c>
      <c r="F70" s="903">
        <v>5654215</v>
      </c>
      <c r="G70" s="295"/>
      <c r="H70" s="469"/>
      <c r="I70" s="469"/>
      <c r="K70" s="114"/>
    </row>
    <row r="71" spans="1:11" ht="27.75" customHeight="1" x14ac:dyDescent="0.2">
      <c r="A71" s="489" t="s">
        <v>55</v>
      </c>
      <c r="B71" s="491" t="s">
        <v>383</v>
      </c>
      <c r="C71" s="528">
        <v>0</v>
      </c>
      <c r="D71" s="303">
        <f t="shared" si="2"/>
        <v>0</v>
      </c>
      <c r="E71" s="303"/>
      <c r="F71" s="304">
        <v>0</v>
      </c>
      <c r="G71" s="295"/>
      <c r="H71" s="469"/>
      <c r="I71" s="469"/>
      <c r="K71" s="114"/>
    </row>
    <row r="72" spans="1:11" ht="27.75" customHeight="1" x14ac:dyDescent="0.2">
      <c r="A72" s="916" t="s">
        <v>57</v>
      </c>
      <c r="B72" s="899" t="s">
        <v>727</v>
      </c>
      <c r="C72" s="900">
        <v>0</v>
      </c>
      <c r="D72" s="901">
        <f t="shared" si="2"/>
        <v>12946150</v>
      </c>
      <c r="E72" s="902"/>
      <c r="F72" s="903">
        <f>SUM(F73:F76)</f>
        <v>12946150</v>
      </c>
      <c r="G72" s="295"/>
      <c r="H72" s="469"/>
      <c r="I72" s="469"/>
      <c r="K72" s="114"/>
    </row>
    <row r="73" spans="1:11" x14ac:dyDescent="0.2">
      <c r="A73" s="488" t="s">
        <v>57</v>
      </c>
      <c r="B73" s="95" t="s">
        <v>728</v>
      </c>
      <c r="C73" s="529">
        <v>0</v>
      </c>
      <c r="D73" s="303">
        <f t="shared" si="2"/>
        <v>1767614</v>
      </c>
      <c r="E73" s="348"/>
      <c r="F73" s="106">
        <v>1767614</v>
      </c>
      <c r="H73" s="123" t="s">
        <v>729</v>
      </c>
    </row>
    <row r="74" spans="1:11" x14ac:dyDescent="0.2">
      <c r="A74" s="489" t="s">
        <v>57</v>
      </c>
      <c r="B74" s="95" t="s">
        <v>730</v>
      </c>
      <c r="C74" s="529">
        <v>0</v>
      </c>
      <c r="D74" s="303">
        <f t="shared" si="2"/>
        <v>6225380</v>
      </c>
      <c r="E74" s="348"/>
      <c r="F74" s="304">
        <v>6225380</v>
      </c>
    </row>
    <row r="75" spans="1:11" x14ac:dyDescent="0.2">
      <c r="A75" s="94" t="s">
        <v>57</v>
      </c>
      <c r="B75" s="95" t="s">
        <v>731</v>
      </c>
      <c r="C75" s="529">
        <v>0</v>
      </c>
      <c r="D75" s="303">
        <f t="shared" si="2"/>
        <v>3579000</v>
      </c>
      <c r="E75" s="348"/>
      <c r="F75" s="106">
        <v>3579000</v>
      </c>
    </row>
    <row r="76" spans="1:11" x14ac:dyDescent="0.2">
      <c r="A76" s="94" t="s">
        <v>57</v>
      </c>
      <c r="B76" s="95" t="s">
        <v>732</v>
      </c>
      <c r="C76" s="529">
        <v>0</v>
      </c>
      <c r="D76" s="303">
        <f t="shared" si="2"/>
        <v>1374156</v>
      </c>
      <c r="E76" s="348"/>
      <c r="F76" s="106">
        <v>1374156</v>
      </c>
    </row>
    <row r="77" spans="1:11" ht="26.25" customHeight="1" x14ac:dyDescent="0.2">
      <c r="A77" s="94" t="s">
        <v>62</v>
      </c>
      <c r="B77" s="95" t="s">
        <v>548</v>
      </c>
      <c r="C77" s="529">
        <v>0</v>
      </c>
      <c r="D77" s="303">
        <f t="shared" si="2"/>
        <v>0</v>
      </c>
      <c r="E77" s="348"/>
      <c r="F77" s="106">
        <v>0</v>
      </c>
      <c r="G77" s="283"/>
    </row>
    <row r="78" spans="1:11" ht="26.25" customHeight="1" x14ac:dyDescent="0.2">
      <c r="A78" s="94" t="s">
        <v>65</v>
      </c>
      <c r="B78" s="95" t="s">
        <v>533</v>
      </c>
      <c r="C78" s="529"/>
      <c r="D78" s="303">
        <f t="shared" si="2"/>
        <v>0</v>
      </c>
      <c r="E78" s="348"/>
      <c r="F78" s="106"/>
      <c r="J78" s="80"/>
    </row>
    <row r="79" spans="1:11" ht="26.25" customHeight="1" thickBot="1" x14ac:dyDescent="0.25">
      <c r="A79" s="107" t="s">
        <v>384</v>
      </c>
      <c r="B79" s="473" t="s">
        <v>385</v>
      </c>
      <c r="C79" s="530">
        <v>0</v>
      </c>
      <c r="D79" s="303">
        <f t="shared" si="2"/>
        <v>6000000</v>
      </c>
      <c r="E79" s="348"/>
      <c r="F79" s="474">
        <v>6000000</v>
      </c>
    </row>
    <row r="80" spans="1:11" ht="23.25" customHeight="1" thickBot="1" x14ac:dyDescent="0.25">
      <c r="A80" s="1042" t="s">
        <v>120</v>
      </c>
      <c r="B80" s="1042"/>
      <c r="C80" s="921">
        <f>SUM(C45+C56+C61+C70+C71+C72+C73+C74+C75+C77+C78+C79+C66)</f>
        <v>190631215</v>
      </c>
      <c r="D80" s="921">
        <f>SUM(D45+D56+D61+D66+D70+D72+D77+D78+D79)</f>
        <v>21818798</v>
      </c>
      <c r="E80" s="922">
        <f>F80/C80*100</f>
        <v>111.4455536570965</v>
      </c>
      <c r="F80" s="923">
        <f>F45+F56+F61+F70+F72+F77+F78+F79+F66</f>
        <v>212450013</v>
      </c>
    </row>
    <row r="81" spans="1:11" ht="23.25" customHeight="1" thickBot="1" x14ac:dyDescent="0.25">
      <c r="A81" s="1043" t="s">
        <v>133</v>
      </c>
      <c r="B81" s="1043"/>
      <c r="C81" s="1043"/>
      <c r="D81" s="1043"/>
      <c r="E81" s="1043"/>
      <c r="F81" s="1043"/>
    </row>
    <row r="82" spans="1:11" ht="17.25" customHeight="1" thickBot="1" x14ac:dyDescent="0.25">
      <c r="A82" s="1044" t="s">
        <v>46</v>
      </c>
      <c r="B82" s="1045" t="s">
        <v>47</v>
      </c>
      <c r="C82" s="1047">
        <v>2021</v>
      </c>
      <c r="D82" s="1048"/>
      <c r="E82" s="1049"/>
      <c r="F82" s="1046" t="s">
        <v>647</v>
      </c>
    </row>
    <row r="83" spans="1:11" ht="27.75" customHeight="1" thickBot="1" x14ac:dyDescent="0.25">
      <c r="A83" s="1044"/>
      <c r="B83" s="1045"/>
      <c r="C83" s="324" t="s">
        <v>48</v>
      </c>
      <c r="D83" s="324" t="s">
        <v>519</v>
      </c>
      <c r="E83" s="324" t="s">
        <v>387</v>
      </c>
      <c r="F83" s="1046"/>
    </row>
    <row r="84" spans="1:11" ht="23.25" customHeight="1" x14ac:dyDescent="0.2">
      <c r="A84" s="484" t="s">
        <v>57</v>
      </c>
      <c r="B84" s="491" t="s">
        <v>58</v>
      </c>
      <c r="C84" s="500"/>
      <c r="D84" s="486"/>
      <c r="E84" s="486"/>
      <c r="F84" s="110"/>
    </row>
    <row r="85" spans="1:11" ht="24" customHeight="1" thickBot="1" x14ac:dyDescent="0.25">
      <c r="A85" s="488" t="s">
        <v>110</v>
      </c>
      <c r="B85" s="95" t="s">
        <v>111</v>
      </c>
      <c r="C85" s="306">
        <v>126631141</v>
      </c>
      <c r="D85" s="111">
        <f>F85-C85</f>
        <v>124397420</v>
      </c>
      <c r="E85" s="351">
        <f>F85/C85*100</f>
        <v>198.23604132256852</v>
      </c>
      <c r="F85" s="112">
        <v>251028561</v>
      </c>
      <c r="G85" s="39"/>
      <c r="I85" s="470"/>
    </row>
    <row r="86" spans="1:11" ht="18.75" customHeight="1" thickBot="1" x14ac:dyDescent="0.25">
      <c r="A86" s="1042" t="s">
        <v>120</v>
      </c>
      <c r="B86" s="1042"/>
      <c r="C86" s="918">
        <f>C85</f>
        <v>126631141</v>
      </c>
      <c r="D86" s="918">
        <f>D85</f>
        <v>124397420</v>
      </c>
      <c r="E86" s="919">
        <f>E85</f>
        <v>198.23604132256852</v>
      </c>
      <c r="F86" s="920">
        <f>SUM(F84:F85)</f>
        <v>251028561</v>
      </c>
    </row>
    <row r="87" spans="1:11" ht="21" customHeight="1" thickBot="1" x14ac:dyDescent="0.25">
      <c r="A87" s="1043" t="s">
        <v>388</v>
      </c>
      <c r="B87" s="1043"/>
      <c r="C87" s="1043"/>
      <c r="D87" s="1043"/>
      <c r="E87" s="1043"/>
      <c r="F87" s="1043"/>
    </row>
    <row r="88" spans="1:11" ht="17.25" customHeight="1" thickBot="1" x14ac:dyDescent="0.25">
      <c r="A88" s="1044" t="s">
        <v>46</v>
      </c>
      <c r="B88" s="1045" t="s">
        <v>47</v>
      </c>
      <c r="C88" s="1047">
        <v>2021</v>
      </c>
      <c r="D88" s="1048"/>
      <c r="E88" s="1049"/>
      <c r="F88" s="1046" t="s">
        <v>647</v>
      </c>
    </row>
    <row r="89" spans="1:11" ht="24.75" customHeight="1" thickBot="1" x14ac:dyDescent="0.25">
      <c r="A89" s="1044"/>
      <c r="B89" s="1045"/>
      <c r="C89" s="324" t="s">
        <v>48</v>
      </c>
      <c r="D89" s="324" t="s">
        <v>519</v>
      </c>
      <c r="E89" s="324" t="s">
        <v>387</v>
      </c>
      <c r="F89" s="1046"/>
    </row>
    <row r="90" spans="1:11" ht="25.5" customHeight="1" thickBot="1" x14ac:dyDescent="0.25">
      <c r="A90" s="488" t="s">
        <v>62</v>
      </c>
      <c r="B90" s="95" t="s">
        <v>63</v>
      </c>
      <c r="C90" s="113">
        <v>2500000</v>
      </c>
      <c r="D90" s="306">
        <f>F90-C90</f>
        <v>0</v>
      </c>
      <c r="E90" s="234">
        <f>F90/C90*100</f>
        <v>100</v>
      </c>
      <c r="F90" s="113">
        <v>2500000</v>
      </c>
      <c r="G90" s="71"/>
      <c r="K90" s="80"/>
    </row>
    <row r="91" spans="1:11" ht="18.75" customHeight="1" thickBot="1" x14ac:dyDescent="0.25">
      <c r="A91" s="1055" t="s">
        <v>120</v>
      </c>
      <c r="B91" s="1055"/>
      <c r="C91" s="924">
        <f>C90</f>
        <v>2500000</v>
      </c>
      <c r="D91" s="924">
        <f>SUM(D90)</f>
        <v>0</v>
      </c>
      <c r="E91" s="925">
        <f>SUM(E90)</f>
        <v>100</v>
      </c>
      <c r="F91" s="926">
        <f>F90</f>
        <v>2500000</v>
      </c>
      <c r="K91" s="80"/>
    </row>
    <row r="92" spans="1:11" ht="18.75" hidden="1" customHeight="1" thickBot="1" x14ac:dyDescent="0.25">
      <c r="A92" s="1043" t="s">
        <v>422</v>
      </c>
      <c r="B92" s="1043"/>
      <c r="C92" s="1043"/>
      <c r="D92" s="1043"/>
      <c r="E92" s="1043"/>
      <c r="F92" s="1043"/>
      <c r="K92" s="80"/>
    </row>
    <row r="93" spans="1:11" ht="18.75" hidden="1" customHeight="1" thickBot="1" x14ac:dyDescent="0.25">
      <c r="A93" s="1044" t="s">
        <v>46</v>
      </c>
      <c r="B93" s="1045" t="s">
        <v>47</v>
      </c>
      <c r="C93" s="1047">
        <v>2021</v>
      </c>
      <c r="D93" s="1048"/>
      <c r="E93" s="1049"/>
      <c r="F93" s="1046" t="s">
        <v>647</v>
      </c>
      <c r="K93" s="80"/>
    </row>
    <row r="94" spans="1:11" ht="18.75" hidden="1" customHeight="1" thickBot="1" x14ac:dyDescent="0.25">
      <c r="A94" s="1044"/>
      <c r="B94" s="1045"/>
      <c r="C94" s="324" t="s">
        <v>48</v>
      </c>
      <c r="D94" s="324" t="s">
        <v>519</v>
      </c>
      <c r="E94" s="324" t="s">
        <v>387</v>
      </c>
      <c r="F94" s="1046"/>
      <c r="K94" s="80"/>
    </row>
    <row r="95" spans="1:11" ht="24.75" hidden="1" customHeight="1" thickBot="1" x14ac:dyDescent="0.25">
      <c r="A95" s="488" t="s">
        <v>62</v>
      </c>
      <c r="B95" s="95" t="s">
        <v>63</v>
      </c>
      <c r="C95" s="95">
        <v>0</v>
      </c>
      <c r="D95" s="306">
        <f>F95-C95</f>
        <v>0</v>
      </c>
      <c r="E95" s="234"/>
      <c r="F95" s="113">
        <v>0</v>
      </c>
      <c r="K95" s="80"/>
    </row>
    <row r="96" spans="1:11" ht="18.75" hidden="1" customHeight="1" thickBot="1" x14ac:dyDescent="0.25">
      <c r="A96" s="1055" t="s">
        <v>120</v>
      </c>
      <c r="B96" s="1055"/>
      <c r="C96" s="924">
        <f>C95</f>
        <v>0</v>
      </c>
      <c r="D96" s="924">
        <f>SUM(D95)</f>
        <v>0</v>
      </c>
      <c r="E96" s="925">
        <f>SUM(E95)</f>
        <v>0</v>
      </c>
      <c r="F96" s="926">
        <f>F95</f>
        <v>0</v>
      </c>
      <c r="K96" s="80"/>
    </row>
    <row r="97" spans="1:6" ht="24" customHeight="1" thickBot="1" x14ac:dyDescent="0.25">
      <c r="A97" s="1043" t="s">
        <v>134</v>
      </c>
      <c r="B97" s="1043"/>
      <c r="C97" s="1043"/>
      <c r="D97" s="1043"/>
      <c r="E97" s="1043"/>
      <c r="F97" s="1043"/>
    </row>
    <row r="98" spans="1:6" ht="17.25" customHeight="1" thickBot="1" x14ac:dyDescent="0.25">
      <c r="A98" s="1044" t="s">
        <v>46</v>
      </c>
      <c r="B98" s="1045" t="s">
        <v>47</v>
      </c>
      <c r="C98" s="1047">
        <v>2021</v>
      </c>
      <c r="D98" s="1048"/>
      <c r="E98" s="1049"/>
      <c r="F98" s="1046" t="s">
        <v>647</v>
      </c>
    </row>
    <row r="99" spans="1:6" ht="26.25" customHeight="1" thickBot="1" x14ac:dyDescent="0.25">
      <c r="A99" s="1044"/>
      <c r="B99" s="1045"/>
      <c r="C99" s="324" t="s">
        <v>48</v>
      </c>
      <c r="D99" s="324" t="s">
        <v>519</v>
      </c>
      <c r="E99" s="324" t="s">
        <v>387</v>
      </c>
      <c r="F99" s="1046"/>
    </row>
    <row r="100" spans="1:6" ht="16.5" customHeight="1" x14ac:dyDescent="0.2">
      <c r="A100" s="393" t="s">
        <v>85</v>
      </c>
      <c r="B100" s="761" t="s">
        <v>86</v>
      </c>
      <c r="C100" s="521">
        <v>3000000</v>
      </c>
      <c r="D100" s="768">
        <f>F100-C100</f>
        <v>3000000</v>
      </c>
      <c r="E100" s="379">
        <f>F100/C100*100</f>
        <v>200</v>
      </c>
      <c r="F100" s="818">
        <v>6000000</v>
      </c>
    </row>
    <row r="101" spans="1:6" ht="18" customHeight="1" thickBot="1" x14ac:dyDescent="0.25">
      <c r="A101" s="762" t="s">
        <v>89</v>
      </c>
      <c r="B101" s="390" t="s">
        <v>90</v>
      </c>
      <c r="C101" s="525">
        <v>810000</v>
      </c>
      <c r="D101" s="768">
        <f>F101-C101</f>
        <v>810000</v>
      </c>
      <c r="E101" s="379">
        <f>F101/C101*100</f>
        <v>200</v>
      </c>
      <c r="F101" s="749">
        <v>1620000</v>
      </c>
    </row>
    <row r="102" spans="1:6" ht="18.75" customHeight="1" thickBot="1" x14ac:dyDescent="0.25">
      <c r="A102" s="1055" t="s">
        <v>120</v>
      </c>
      <c r="B102" s="1055"/>
      <c r="C102" s="927">
        <f>SUM(C100:C101)</f>
        <v>3810000</v>
      </c>
      <c r="D102" s="924">
        <f>SUM(D100:D101)</f>
        <v>3810000</v>
      </c>
      <c r="E102" s="925">
        <f>F102/C102*100</f>
        <v>200</v>
      </c>
      <c r="F102" s="928">
        <f>SUM(F100:F101)</f>
        <v>7620000</v>
      </c>
    </row>
    <row r="103" spans="1:6" ht="18.75" customHeight="1" thickBot="1" x14ac:dyDescent="0.25">
      <c r="A103" s="1059" t="s">
        <v>511</v>
      </c>
      <c r="B103" s="1060"/>
      <c r="C103" s="1060"/>
      <c r="D103" s="1060"/>
      <c r="E103" s="1060"/>
      <c r="F103" s="1061"/>
    </row>
    <row r="104" spans="1:6" ht="18.75" customHeight="1" thickBot="1" x14ac:dyDescent="0.25">
      <c r="A104" s="1044" t="s">
        <v>46</v>
      </c>
      <c r="B104" s="1045" t="s">
        <v>47</v>
      </c>
      <c r="C104" s="1047">
        <v>2021</v>
      </c>
      <c r="D104" s="1048"/>
      <c r="E104" s="1049"/>
      <c r="F104" s="1046" t="s">
        <v>647</v>
      </c>
    </row>
    <row r="105" spans="1:6" ht="18.75" customHeight="1" thickBot="1" x14ac:dyDescent="0.25">
      <c r="A105" s="1044"/>
      <c r="B105" s="1045"/>
      <c r="C105" s="324" t="s">
        <v>48</v>
      </c>
      <c r="D105" s="324" t="s">
        <v>519</v>
      </c>
      <c r="E105" s="324" t="s">
        <v>387</v>
      </c>
      <c r="F105" s="1046"/>
    </row>
    <row r="106" spans="1:6" ht="26.25" customHeight="1" thickBot="1" x14ac:dyDescent="0.25">
      <c r="A106" s="457" t="s">
        <v>62</v>
      </c>
      <c r="B106" s="390" t="s">
        <v>517</v>
      </c>
      <c r="C106" s="753">
        <v>0</v>
      </c>
      <c r="D106" s="728">
        <f>F106-C106</f>
        <v>0</v>
      </c>
      <c r="E106" s="754"/>
      <c r="F106" s="749">
        <v>0</v>
      </c>
    </row>
    <row r="107" spans="1:6" ht="18.75" customHeight="1" thickBot="1" x14ac:dyDescent="0.25">
      <c r="A107" s="1042" t="s">
        <v>120</v>
      </c>
      <c r="B107" s="1042"/>
      <c r="C107" s="929">
        <v>0</v>
      </c>
      <c r="D107" s="918">
        <f>SUM(D106)</f>
        <v>0</v>
      </c>
      <c r="E107" s="919"/>
      <c r="F107" s="920">
        <f>SUM(F106)</f>
        <v>0</v>
      </c>
    </row>
    <row r="108" spans="1:6" ht="18.75" customHeight="1" thickBot="1" x14ac:dyDescent="0.25">
      <c r="A108" s="1056" t="s">
        <v>485</v>
      </c>
      <c r="B108" s="1057"/>
      <c r="C108" s="1057"/>
      <c r="D108" s="1057"/>
      <c r="E108" s="1057"/>
      <c r="F108" s="1058"/>
    </row>
    <row r="109" spans="1:6" ht="18.75" customHeight="1" thickBot="1" x14ac:dyDescent="0.25">
      <c r="A109" s="1044" t="s">
        <v>46</v>
      </c>
      <c r="B109" s="1045" t="s">
        <v>47</v>
      </c>
      <c r="C109" s="1047">
        <v>2021</v>
      </c>
      <c r="D109" s="1048"/>
      <c r="E109" s="1049"/>
      <c r="F109" s="1046" t="s">
        <v>647</v>
      </c>
    </row>
    <row r="110" spans="1:6" ht="18.75" customHeight="1" thickBot="1" x14ac:dyDescent="0.25">
      <c r="A110" s="1044"/>
      <c r="B110" s="1045"/>
      <c r="C110" s="324" t="s">
        <v>48</v>
      </c>
      <c r="D110" s="324" t="s">
        <v>519</v>
      </c>
      <c r="E110" s="324" t="s">
        <v>387</v>
      </c>
      <c r="F110" s="1046"/>
    </row>
    <row r="111" spans="1:6" ht="24.75" customHeight="1" thickBot="1" x14ac:dyDescent="0.25">
      <c r="A111" s="457" t="s">
        <v>62</v>
      </c>
      <c r="B111" s="390" t="s">
        <v>627</v>
      </c>
      <c r="C111" s="755">
        <v>1000000</v>
      </c>
      <c r="D111" s="728">
        <f>F111-C111</f>
        <v>-1000000</v>
      </c>
      <c r="E111" s="754">
        <f>F111/C111*100</f>
        <v>0</v>
      </c>
      <c r="F111" s="749">
        <v>0</v>
      </c>
    </row>
    <row r="112" spans="1:6" ht="18.75" customHeight="1" thickBot="1" x14ac:dyDescent="0.25">
      <c r="A112" s="1042" t="s">
        <v>120</v>
      </c>
      <c r="B112" s="1042"/>
      <c r="C112" s="918">
        <f>SUM(C111)</f>
        <v>1000000</v>
      </c>
      <c r="D112" s="918">
        <f>SUM(D111)</f>
        <v>-1000000</v>
      </c>
      <c r="E112" s="919">
        <f>SUM(E111)</f>
        <v>0</v>
      </c>
      <c r="F112" s="920">
        <f>SUM(F111)</f>
        <v>0</v>
      </c>
    </row>
    <row r="113" spans="1:10" ht="25.5" customHeight="1" thickBot="1" x14ac:dyDescent="0.25">
      <c r="A113" s="1056" t="s">
        <v>135</v>
      </c>
      <c r="B113" s="1057"/>
      <c r="C113" s="1057"/>
      <c r="D113" s="1057"/>
      <c r="E113" s="1057"/>
      <c r="F113" s="1058"/>
    </row>
    <row r="114" spans="1:10" ht="18.75" customHeight="1" thickBot="1" x14ac:dyDescent="0.25">
      <c r="A114" s="1044" t="s">
        <v>46</v>
      </c>
      <c r="B114" s="1045" t="s">
        <v>47</v>
      </c>
      <c r="C114" s="1047">
        <v>2021</v>
      </c>
      <c r="D114" s="1048"/>
      <c r="E114" s="1049"/>
      <c r="F114" s="1046" t="s">
        <v>647</v>
      </c>
    </row>
    <row r="115" spans="1:10" ht="26.25" customHeight="1" thickBot="1" x14ac:dyDescent="0.25">
      <c r="A115" s="1044"/>
      <c r="B115" s="1045"/>
      <c r="C115" s="324" t="s">
        <v>48</v>
      </c>
      <c r="D115" s="324" t="s">
        <v>519</v>
      </c>
      <c r="E115" s="324" t="s">
        <v>387</v>
      </c>
      <c r="F115" s="1046"/>
    </row>
    <row r="116" spans="1:10" ht="27" customHeight="1" thickBot="1" x14ac:dyDescent="0.25">
      <c r="A116" s="488" t="s">
        <v>62</v>
      </c>
      <c r="B116" s="95" t="s">
        <v>136</v>
      </c>
      <c r="C116" s="99">
        <v>8167200</v>
      </c>
      <c r="D116" s="306">
        <f>F116-C116</f>
        <v>505200</v>
      </c>
      <c r="E116" s="234">
        <f>F116/C116*100</f>
        <v>106.18571848369088</v>
      </c>
      <c r="F116" s="99">
        <v>8672400</v>
      </c>
      <c r="J116" s="80"/>
    </row>
    <row r="117" spans="1:10" ht="18" customHeight="1" thickBot="1" x14ac:dyDescent="0.25">
      <c r="A117" s="1042" t="s">
        <v>120</v>
      </c>
      <c r="B117" s="1042"/>
      <c r="C117" s="930">
        <f>SUM(C116)</f>
        <v>8167200</v>
      </c>
      <c r="D117" s="918">
        <f>SUM(D116)</f>
        <v>505200</v>
      </c>
      <c r="E117" s="919">
        <f>SUM(E116)</f>
        <v>106.18571848369088</v>
      </c>
      <c r="F117" s="920">
        <f>SUM(F116)</f>
        <v>8672400</v>
      </c>
    </row>
    <row r="118" spans="1:10" ht="22.5" customHeight="1" thickBot="1" x14ac:dyDescent="0.25">
      <c r="A118" s="1043" t="s">
        <v>437</v>
      </c>
      <c r="B118" s="1043"/>
      <c r="C118" s="1043"/>
      <c r="D118" s="1043"/>
      <c r="E118" s="1043"/>
      <c r="F118" s="1043"/>
    </row>
    <row r="119" spans="1:10" ht="18" customHeight="1" thickBot="1" x14ac:dyDescent="0.25">
      <c r="A119" s="1044" t="s">
        <v>46</v>
      </c>
      <c r="B119" s="1045" t="s">
        <v>47</v>
      </c>
      <c r="C119" s="1047">
        <v>2021</v>
      </c>
      <c r="D119" s="1048"/>
      <c r="E119" s="1049"/>
      <c r="F119" s="1046" t="s">
        <v>647</v>
      </c>
    </row>
    <row r="120" spans="1:10" ht="26.25" customHeight="1" thickBot="1" x14ac:dyDescent="0.25">
      <c r="A120" s="1044"/>
      <c r="B120" s="1045"/>
      <c r="C120" s="324" t="s">
        <v>48</v>
      </c>
      <c r="D120" s="324" t="s">
        <v>519</v>
      </c>
      <c r="E120" s="324" t="s">
        <v>387</v>
      </c>
      <c r="F120" s="1046"/>
    </row>
    <row r="121" spans="1:10" ht="32.25" thickBot="1" x14ac:dyDescent="0.25">
      <c r="A121" s="489" t="s">
        <v>486</v>
      </c>
      <c r="B121" s="491" t="s">
        <v>487</v>
      </c>
      <c r="C121" s="519">
        <v>0</v>
      </c>
      <c r="D121" s="486">
        <f>F121-C121</f>
        <v>0</v>
      </c>
      <c r="E121" s="204">
        <v>0</v>
      </c>
      <c r="F121" s="110">
        <v>0</v>
      </c>
    </row>
    <row r="122" spans="1:10" ht="18.75" customHeight="1" thickBot="1" x14ac:dyDescent="0.25">
      <c r="A122" s="1042" t="s">
        <v>120</v>
      </c>
      <c r="B122" s="1042"/>
      <c r="C122" s="929">
        <v>0</v>
      </c>
      <c r="D122" s="918">
        <f>SUM(D121:D121)</f>
        <v>0</v>
      </c>
      <c r="E122" s="919"/>
      <c r="F122" s="920">
        <f>SUM(F121:F121)</f>
        <v>0</v>
      </c>
    </row>
    <row r="123" spans="1:10" ht="24" customHeight="1" thickBot="1" x14ac:dyDescent="0.25">
      <c r="A123" s="1050" t="s">
        <v>137</v>
      </c>
      <c r="B123" s="1050"/>
      <c r="C123" s="1050"/>
      <c r="D123" s="1050"/>
      <c r="E123" s="1050"/>
      <c r="F123" s="1050"/>
    </row>
    <row r="124" spans="1:10" ht="19.5" customHeight="1" thickBot="1" x14ac:dyDescent="0.25">
      <c r="A124" s="1044" t="s">
        <v>46</v>
      </c>
      <c r="B124" s="1045" t="s">
        <v>47</v>
      </c>
      <c r="C124" s="1047">
        <v>2021</v>
      </c>
      <c r="D124" s="1048"/>
      <c r="E124" s="1049"/>
      <c r="F124" s="1046" t="s">
        <v>647</v>
      </c>
    </row>
    <row r="125" spans="1:10" ht="24" customHeight="1" thickBot="1" x14ac:dyDescent="0.25">
      <c r="A125" s="1044"/>
      <c r="B125" s="1045"/>
      <c r="C125" s="324" t="s">
        <v>48</v>
      </c>
      <c r="D125" s="324" t="s">
        <v>519</v>
      </c>
      <c r="E125" s="324" t="s">
        <v>387</v>
      </c>
      <c r="F125" s="1046"/>
    </row>
    <row r="126" spans="1:10" ht="12.75" customHeight="1" x14ac:dyDescent="0.2">
      <c r="A126" s="484" t="s">
        <v>87</v>
      </c>
      <c r="B126" s="491" t="s">
        <v>88</v>
      </c>
      <c r="C126" s="407">
        <v>4200000</v>
      </c>
      <c r="D126" s="486">
        <f>F126-C126</f>
        <v>-200000</v>
      </c>
      <c r="E126" s="204">
        <f>F126/C126*100</f>
        <v>95.238095238095227</v>
      </c>
      <c r="F126" s="110">
        <v>4000000</v>
      </c>
    </row>
    <row r="127" spans="1:10" ht="12.75" customHeight="1" thickBot="1" x14ac:dyDescent="0.25">
      <c r="A127" s="488" t="s">
        <v>89</v>
      </c>
      <c r="B127" s="95" t="s">
        <v>90</v>
      </c>
      <c r="C127" s="531">
        <v>1134000</v>
      </c>
      <c r="D127" s="766">
        <f>F127-C127</f>
        <v>-54000</v>
      </c>
      <c r="E127" s="204">
        <f>F127/C127*100</f>
        <v>95.238095238095227</v>
      </c>
      <c r="F127" s="99">
        <v>1080000</v>
      </c>
    </row>
    <row r="128" spans="1:10" ht="18" customHeight="1" thickBot="1" x14ac:dyDescent="0.25">
      <c r="A128" s="1042" t="s">
        <v>120</v>
      </c>
      <c r="B128" s="1042"/>
      <c r="C128" s="930">
        <f>SUM(C126:C127)</f>
        <v>5334000</v>
      </c>
      <c r="D128" s="918">
        <f>SUM(D126:D127)</f>
        <v>-254000</v>
      </c>
      <c r="E128" s="919">
        <f>F128/C128*100</f>
        <v>95.238095238095227</v>
      </c>
      <c r="F128" s="920">
        <f>SUM(F126:F127)</f>
        <v>5080000</v>
      </c>
    </row>
    <row r="129" spans="1:6" ht="18" customHeight="1" thickBot="1" x14ac:dyDescent="0.25">
      <c r="A129" s="1050"/>
      <c r="B129" s="1050"/>
      <c r="C129" s="1050"/>
      <c r="D129" s="1050"/>
      <c r="E129" s="1050"/>
      <c r="F129" s="1050"/>
    </row>
    <row r="130" spans="1:6" ht="18" customHeight="1" thickBot="1" x14ac:dyDescent="0.25">
      <c r="A130" s="1044" t="s">
        <v>46</v>
      </c>
      <c r="B130" s="1045" t="s">
        <v>47</v>
      </c>
      <c r="C130" s="1047">
        <v>2021</v>
      </c>
      <c r="D130" s="1048"/>
      <c r="E130" s="1049"/>
      <c r="F130" s="1046" t="s">
        <v>647</v>
      </c>
    </row>
    <row r="131" spans="1:6" ht="18" customHeight="1" thickBot="1" x14ac:dyDescent="0.25">
      <c r="A131" s="1044"/>
      <c r="B131" s="1045"/>
      <c r="C131" s="324" t="s">
        <v>48</v>
      </c>
      <c r="D131" s="324" t="s">
        <v>519</v>
      </c>
      <c r="E131" s="324" t="s">
        <v>387</v>
      </c>
      <c r="F131" s="1046"/>
    </row>
    <row r="132" spans="1:6" ht="18" customHeight="1" thickBot="1" x14ac:dyDescent="0.25">
      <c r="A132" s="757" t="s">
        <v>95</v>
      </c>
      <c r="B132" s="758" t="s">
        <v>634</v>
      </c>
      <c r="C132" s="407">
        <v>0</v>
      </c>
      <c r="D132" s="756"/>
      <c r="E132" s="204"/>
      <c r="F132" s="110"/>
    </row>
    <row r="133" spans="1:6" ht="18" customHeight="1" thickBot="1" x14ac:dyDescent="0.25">
      <c r="A133" s="1042" t="s">
        <v>120</v>
      </c>
      <c r="B133" s="1042"/>
      <c r="C133" s="930">
        <f>SUM(C132)</f>
        <v>0</v>
      </c>
      <c r="D133" s="918"/>
      <c r="E133" s="919"/>
      <c r="F133" s="920"/>
    </row>
    <row r="134" spans="1:6" ht="18" customHeight="1" thickBot="1" x14ac:dyDescent="0.25">
      <c r="A134" s="1050" t="s">
        <v>488</v>
      </c>
      <c r="B134" s="1050"/>
      <c r="C134" s="1050"/>
      <c r="D134" s="1050"/>
      <c r="E134" s="1050"/>
      <c r="F134" s="1050"/>
    </row>
    <row r="135" spans="1:6" ht="18" customHeight="1" thickBot="1" x14ac:dyDescent="0.25">
      <c r="A135" s="1044" t="s">
        <v>46</v>
      </c>
      <c r="B135" s="1045" t="s">
        <v>47</v>
      </c>
      <c r="C135" s="1047">
        <v>2021</v>
      </c>
      <c r="D135" s="1048"/>
      <c r="E135" s="1049"/>
      <c r="F135" s="1046" t="s">
        <v>647</v>
      </c>
    </row>
    <row r="136" spans="1:6" ht="18" customHeight="1" thickBot="1" x14ac:dyDescent="0.25">
      <c r="A136" s="1044"/>
      <c r="B136" s="1045"/>
      <c r="C136" s="324" t="s">
        <v>48</v>
      </c>
      <c r="D136" s="324" t="s">
        <v>519</v>
      </c>
      <c r="E136" s="324" t="s">
        <v>387</v>
      </c>
      <c r="F136" s="1046"/>
    </row>
    <row r="137" spans="1:6" ht="18" customHeight="1" thickBot="1" x14ac:dyDescent="0.25">
      <c r="A137" s="484" t="s">
        <v>87</v>
      </c>
      <c r="B137" s="491" t="s">
        <v>88</v>
      </c>
      <c r="C137" s="110">
        <v>400000</v>
      </c>
      <c r="D137" s="486">
        <f>F137-C137</f>
        <v>-400000</v>
      </c>
      <c r="E137" s="204">
        <f>F137/C137*100</f>
        <v>0</v>
      </c>
      <c r="F137" s="110">
        <v>0</v>
      </c>
    </row>
    <row r="138" spans="1:6" ht="18" customHeight="1" thickBot="1" x14ac:dyDescent="0.25">
      <c r="A138" s="1042" t="s">
        <v>120</v>
      </c>
      <c r="B138" s="1042"/>
      <c r="C138" s="930">
        <f>SUM(C137)</f>
        <v>400000</v>
      </c>
      <c r="D138" s="918">
        <f>SUM(D137:D137)</f>
        <v>-400000</v>
      </c>
      <c r="E138" s="919">
        <f>F138/C138*100</f>
        <v>0</v>
      </c>
      <c r="F138" s="920">
        <f>SUM(F137:F137)</f>
        <v>0</v>
      </c>
    </row>
    <row r="139" spans="1:6" ht="18" customHeight="1" thickBot="1" x14ac:dyDescent="0.25">
      <c r="A139" s="1050" t="s">
        <v>458</v>
      </c>
      <c r="B139" s="1050"/>
      <c r="C139" s="1050"/>
      <c r="D139" s="1050"/>
      <c r="E139" s="1050"/>
      <c r="F139" s="1050"/>
    </row>
    <row r="140" spans="1:6" ht="18" customHeight="1" thickBot="1" x14ac:dyDescent="0.25">
      <c r="A140" s="1044" t="s">
        <v>46</v>
      </c>
      <c r="B140" s="1045" t="s">
        <v>47</v>
      </c>
      <c r="C140" s="1047">
        <v>2021</v>
      </c>
      <c r="D140" s="1048"/>
      <c r="E140" s="1049"/>
      <c r="F140" s="1046" t="s">
        <v>647</v>
      </c>
    </row>
    <row r="141" spans="1:6" ht="18" customHeight="1" thickBot="1" x14ac:dyDescent="0.25">
      <c r="A141" s="1044"/>
      <c r="B141" s="1045"/>
      <c r="C141" s="324" t="s">
        <v>48</v>
      </c>
      <c r="D141" s="324" t="s">
        <v>519</v>
      </c>
      <c r="E141" s="324" t="s">
        <v>387</v>
      </c>
      <c r="F141" s="1046"/>
    </row>
    <row r="142" spans="1:6" ht="18" customHeight="1" x14ac:dyDescent="0.2">
      <c r="A142" s="484" t="s">
        <v>87</v>
      </c>
      <c r="B142" s="491" t="s">
        <v>88</v>
      </c>
      <c r="C142" s="756">
        <v>283000</v>
      </c>
      <c r="D142" s="486">
        <f>F142-C142</f>
        <v>17000</v>
      </c>
      <c r="E142" s="204">
        <f>F142/C142*100</f>
        <v>106.00706713780919</v>
      </c>
      <c r="F142" s="110">
        <v>300000</v>
      </c>
    </row>
    <row r="143" spans="1:6" ht="18" customHeight="1" thickBot="1" x14ac:dyDescent="0.25">
      <c r="A143" s="488" t="s">
        <v>89</v>
      </c>
      <c r="B143" s="95" t="s">
        <v>90</v>
      </c>
      <c r="C143" s="306">
        <v>74000</v>
      </c>
      <c r="D143" s="766">
        <f>F143-C143</f>
        <v>7000</v>
      </c>
      <c r="E143" s="204">
        <f>F143/C143*100</f>
        <v>109.45945945945945</v>
      </c>
      <c r="F143" s="99">
        <v>81000</v>
      </c>
    </row>
    <row r="144" spans="1:6" ht="18" customHeight="1" thickBot="1" x14ac:dyDescent="0.25">
      <c r="A144" s="1042" t="s">
        <v>120</v>
      </c>
      <c r="B144" s="1042"/>
      <c r="C144" s="918">
        <f>SUM(C142:C143)</f>
        <v>357000</v>
      </c>
      <c r="D144" s="918">
        <f>SUM(D142:D143)</f>
        <v>24000</v>
      </c>
      <c r="E144" s="919">
        <f>F144/C144*100</f>
        <v>106.72268907563026</v>
      </c>
      <c r="F144" s="920">
        <f>SUM(F142:F143)</f>
        <v>381000</v>
      </c>
    </row>
    <row r="145" spans="1:6" ht="25.5" customHeight="1" thickBot="1" x14ac:dyDescent="0.25">
      <c r="A145" s="1062" t="s">
        <v>138</v>
      </c>
      <c r="B145" s="1062"/>
      <c r="C145" s="1062"/>
      <c r="D145" s="1062"/>
      <c r="E145" s="1062"/>
      <c r="F145" s="1062"/>
    </row>
    <row r="146" spans="1:6" ht="15.75" customHeight="1" thickBot="1" x14ac:dyDescent="0.25">
      <c r="A146" s="1044" t="s">
        <v>46</v>
      </c>
      <c r="B146" s="1045" t="s">
        <v>47</v>
      </c>
      <c r="C146" s="1047">
        <v>2021</v>
      </c>
      <c r="D146" s="1048"/>
      <c r="E146" s="1049"/>
      <c r="F146" s="1046" t="s">
        <v>647</v>
      </c>
    </row>
    <row r="147" spans="1:6" ht="26.25" customHeight="1" thickBot="1" x14ac:dyDescent="0.25">
      <c r="A147" s="1044"/>
      <c r="B147" s="1045"/>
      <c r="C147" s="324" t="s">
        <v>48</v>
      </c>
      <c r="D147" s="324" t="s">
        <v>519</v>
      </c>
      <c r="E147" s="324" t="s">
        <v>387</v>
      </c>
      <c r="F147" s="1046"/>
    </row>
    <row r="148" spans="1:6" ht="21" customHeight="1" x14ac:dyDescent="0.2">
      <c r="A148" s="484" t="s">
        <v>66</v>
      </c>
      <c r="B148" s="491" t="s">
        <v>67</v>
      </c>
      <c r="C148" s="407">
        <v>5500000</v>
      </c>
      <c r="D148" s="486">
        <f t="shared" ref="D148:D158" si="5">F148-C148</f>
        <v>0</v>
      </c>
      <c r="E148" s="204">
        <f>F148/C148*100</f>
        <v>100</v>
      </c>
      <c r="F148" s="110">
        <v>5500000</v>
      </c>
    </row>
    <row r="149" spans="1:6" ht="22.5" customHeight="1" x14ac:dyDescent="0.2">
      <c r="A149" s="484" t="s">
        <v>68</v>
      </c>
      <c r="B149" s="491" t="s">
        <v>69</v>
      </c>
      <c r="C149" s="407">
        <v>34000000</v>
      </c>
      <c r="D149" s="766">
        <f t="shared" si="5"/>
        <v>11000000</v>
      </c>
      <c r="E149" s="204">
        <f t="shared" ref="E149" si="6">F149/C149*100</f>
        <v>132.35294117647058</v>
      </c>
      <c r="F149" s="116">
        <v>45000000</v>
      </c>
    </row>
    <row r="150" spans="1:6" ht="24.75" customHeight="1" x14ac:dyDescent="0.2">
      <c r="A150" s="484" t="s">
        <v>70</v>
      </c>
      <c r="B150" s="491" t="s">
        <v>71</v>
      </c>
      <c r="C150" s="407"/>
      <c r="D150" s="766">
        <f t="shared" si="5"/>
        <v>0</v>
      </c>
      <c r="E150" s="204">
        <v>0</v>
      </c>
      <c r="F150" s="110"/>
    </row>
    <row r="151" spans="1:6" ht="22.5" customHeight="1" x14ac:dyDescent="0.2">
      <c r="A151" s="489" t="s">
        <v>489</v>
      </c>
      <c r="B151" s="491" t="s">
        <v>490</v>
      </c>
      <c r="C151" s="407">
        <v>100000</v>
      </c>
      <c r="D151" s="766">
        <f t="shared" si="5"/>
        <v>0</v>
      </c>
      <c r="E151" s="204">
        <v>0</v>
      </c>
      <c r="F151" s="110">
        <v>100000</v>
      </c>
    </row>
    <row r="152" spans="1:6" ht="22.5" customHeight="1" x14ac:dyDescent="0.2">
      <c r="A152" s="668" t="s">
        <v>600</v>
      </c>
      <c r="B152" s="670" t="s">
        <v>601</v>
      </c>
      <c r="C152" s="407"/>
      <c r="D152" s="766">
        <f t="shared" si="5"/>
        <v>0</v>
      </c>
      <c r="E152" s="204">
        <v>0</v>
      </c>
      <c r="F152" s="110"/>
    </row>
    <row r="153" spans="1:6" ht="33" customHeight="1" x14ac:dyDescent="0.2">
      <c r="A153" s="484" t="s">
        <v>72</v>
      </c>
      <c r="B153" s="491" t="s">
        <v>73</v>
      </c>
      <c r="C153" s="407"/>
      <c r="D153" s="766">
        <f t="shared" si="5"/>
        <v>0</v>
      </c>
      <c r="E153" s="204"/>
      <c r="F153" s="110"/>
    </row>
    <row r="154" spans="1:6" ht="12.75" customHeight="1" x14ac:dyDescent="0.2">
      <c r="A154" s="484" t="s">
        <v>74</v>
      </c>
      <c r="B154" s="491" t="s">
        <v>75</v>
      </c>
      <c r="C154" s="407"/>
      <c r="D154" s="766">
        <f t="shared" si="5"/>
        <v>0</v>
      </c>
      <c r="E154" s="204"/>
      <c r="F154" s="110"/>
    </row>
    <row r="155" spans="1:6" ht="12.75" customHeight="1" x14ac:dyDescent="0.2">
      <c r="A155" s="484" t="s">
        <v>76</v>
      </c>
      <c r="B155" s="491" t="s">
        <v>77</v>
      </c>
      <c r="C155" s="407">
        <v>300000</v>
      </c>
      <c r="D155" s="766">
        <f t="shared" si="5"/>
        <v>0</v>
      </c>
      <c r="E155" s="204">
        <f>F155/C155*100</f>
        <v>100</v>
      </c>
      <c r="F155" s="110">
        <v>300000</v>
      </c>
    </row>
    <row r="156" spans="1:6" ht="12.75" customHeight="1" x14ac:dyDescent="0.2">
      <c r="A156" s="484" t="s">
        <v>78</v>
      </c>
      <c r="B156" s="491" t="s">
        <v>79</v>
      </c>
      <c r="C156" s="407"/>
      <c r="D156" s="766">
        <f t="shared" si="5"/>
        <v>0</v>
      </c>
      <c r="E156" s="204"/>
      <c r="F156" s="110"/>
    </row>
    <row r="157" spans="1:6" ht="12.75" customHeight="1" x14ac:dyDescent="0.2">
      <c r="A157" s="484" t="s">
        <v>93</v>
      </c>
      <c r="B157" s="491" t="s">
        <v>94</v>
      </c>
      <c r="C157" s="407"/>
      <c r="D157" s="766">
        <f t="shared" si="5"/>
        <v>0</v>
      </c>
      <c r="E157" s="204"/>
      <c r="F157" s="110"/>
    </row>
    <row r="158" spans="1:6" ht="21.75" thickBot="1" x14ac:dyDescent="0.25">
      <c r="A158" s="488" t="s">
        <v>97</v>
      </c>
      <c r="B158" s="95" t="s">
        <v>98</v>
      </c>
      <c r="C158" s="531"/>
      <c r="D158" s="766">
        <f t="shared" si="5"/>
        <v>0</v>
      </c>
      <c r="E158" s="204"/>
      <c r="F158" s="99"/>
    </row>
    <row r="159" spans="1:6" ht="17.25" customHeight="1" thickBot="1" x14ac:dyDescent="0.25">
      <c r="A159" s="1042" t="s">
        <v>120</v>
      </c>
      <c r="B159" s="1042"/>
      <c r="C159" s="930">
        <f>SUM(C148:C158)</f>
        <v>39900000</v>
      </c>
      <c r="D159" s="918">
        <f>SUM(D148:D158)</f>
        <v>11000000</v>
      </c>
      <c r="E159" s="919">
        <f>F159/C159*100</f>
        <v>127.56892230576442</v>
      </c>
      <c r="F159" s="920">
        <f>SUM(F148:F158)</f>
        <v>50900000</v>
      </c>
    </row>
    <row r="160" spans="1:6" ht="21.75" customHeight="1" thickBot="1" x14ac:dyDescent="0.25">
      <c r="D160" s="80"/>
      <c r="E160" s="80"/>
      <c r="F160" s="118"/>
    </row>
    <row r="161" spans="1:6" ht="20.25" customHeight="1" thickBot="1" x14ac:dyDescent="0.25">
      <c r="A161" s="1063" t="s">
        <v>140</v>
      </c>
      <c r="B161" s="1063"/>
      <c r="C161" s="119">
        <f>C35+C41+C80+C86+C91+C102+C117+C122+C128+C159+C144+C138+C112+C96+C107</f>
        <v>404275656</v>
      </c>
      <c r="D161" s="119">
        <f>D35+D41+D80+D86+D91+D102+D117+D122+D128+D159+D144+D138+D112+D96+D107</f>
        <v>167425008</v>
      </c>
      <c r="E161" s="480">
        <f>F161/C161*100</f>
        <v>141.41357648307172</v>
      </c>
      <c r="F161" s="120">
        <f>F35+F41+F80+F86+F91+F102+F117+F122+F128+F159+F144+F138+F112+F96+F107</f>
        <v>571700664</v>
      </c>
    </row>
    <row r="164" spans="1:6" x14ac:dyDescent="0.2">
      <c r="F164" s="494">
        <f>F161-'Kiadások részletes COFOG'!F512</f>
        <v>0</v>
      </c>
    </row>
    <row r="165" spans="1:6" x14ac:dyDescent="0.2">
      <c r="B165" s="121"/>
      <c r="C165" s="121"/>
      <c r="D165" s="122"/>
    </row>
    <row r="166" spans="1:6" x14ac:dyDescent="0.2">
      <c r="D166" s="80"/>
    </row>
    <row r="167" spans="1:6" x14ac:dyDescent="0.2">
      <c r="D167" s="80"/>
    </row>
    <row r="168" spans="1:6" x14ac:dyDescent="0.2">
      <c r="D168" s="80"/>
      <c r="E168" s="123"/>
    </row>
    <row r="169" spans="1:6" x14ac:dyDescent="0.2">
      <c r="D169" s="80"/>
    </row>
  </sheetData>
  <autoFilter ref="A1:A169" xr:uid="{00000000-0009-0000-0000-000002000000}"/>
  <mergeCells count="101">
    <mergeCell ref="A145:F145"/>
    <mergeCell ref="A138:B138"/>
    <mergeCell ref="A139:F139"/>
    <mergeCell ref="A140:A141"/>
    <mergeCell ref="B140:B141"/>
    <mergeCell ref="C140:E140"/>
    <mergeCell ref="A161:B161"/>
    <mergeCell ref="A159:B159"/>
    <mergeCell ref="A146:A147"/>
    <mergeCell ref="B146:B147"/>
    <mergeCell ref="F146:F147"/>
    <mergeCell ref="C146:E146"/>
    <mergeCell ref="A102:B102"/>
    <mergeCell ref="A113:F113"/>
    <mergeCell ref="A114:A115"/>
    <mergeCell ref="B114:B115"/>
    <mergeCell ref="F114:F115"/>
    <mergeCell ref="A108:F108"/>
    <mergeCell ref="A109:A110"/>
    <mergeCell ref="B109:B110"/>
    <mergeCell ref="F109:F110"/>
    <mergeCell ref="A112:B112"/>
    <mergeCell ref="C109:E109"/>
    <mergeCell ref="C114:E114"/>
    <mergeCell ref="A103:F103"/>
    <mergeCell ref="A104:A105"/>
    <mergeCell ref="B104:B105"/>
    <mergeCell ref="C104:E104"/>
    <mergeCell ref="F104:F105"/>
    <mergeCell ref="A107:B107"/>
    <mergeCell ref="A91:B91"/>
    <mergeCell ref="A97:F97"/>
    <mergeCell ref="A98:A99"/>
    <mergeCell ref="B98:B99"/>
    <mergeCell ref="F98:F99"/>
    <mergeCell ref="A92:F92"/>
    <mergeCell ref="A93:A94"/>
    <mergeCell ref="B93:B94"/>
    <mergeCell ref="F93:F94"/>
    <mergeCell ref="A96:B96"/>
    <mergeCell ref="C93:E93"/>
    <mergeCell ref="C98:E98"/>
    <mergeCell ref="A80:B80"/>
    <mergeCell ref="A81:F81"/>
    <mergeCell ref="A82:A83"/>
    <mergeCell ref="B82:B83"/>
    <mergeCell ref="F82:F83"/>
    <mergeCell ref="A86:B86"/>
    <mergeCell ref="A87:F87"/>
    <mergeCell ref="A88:A89"/>
    <mergeCell ref="B88:B89"/>
    <mergeCell ref="F88:F89"/>
    <mergeCell ref="C88:E88"/>
    <mergeCell ref="C8:E8"/>
    <mergeCell ref="C37:E37"/>
    <mergeCell ref="C43:E43"/>
    <mergeCell ref="C82:E82"/>
    <mergeCell ref="F140:F141"/>
    <mergeCell ref="A144:B144"/>
    <mergeCell ref="A2:F2"/>
    <mergeCell ref="A3:F3"/>
    <mergeCell ref="A5:F5"/>
    <mergeCell ref="A7:F7"/>
    <mergeCell ref="A8:A9"/>
    <mergeCell ref="B8:B9"/>
    <mergeCell ref="F8:F9"/>
    <mergeCell ref="A17:A18"/>
    <mergeCell ref="A35:B35"/>
    <mergeCell ref="A36:F36"/>
    <mergeCell ref="A37:A38"/>
    <mergeCell ref="B37:B38"/>
    <mergeCell ref="F37:F38"/>
    <mergeCell ref="A41:B41"/>
    <mergeCell ref="A42:F42"/>
    <mergeCell ref="A43:A44"/>
    <mergeCell ref="B43:B44"/>
    <mergeCell ref="F43:F44"/>
    <mergeCell ref="A117:B117"/>
    <mergeCell ref="A118:F118"/>
    <mergeCell ref="A119:A120"/>
    <mergeCell ref="B119:B120"/>
    <mergeCell ref="F119:F120"/>
    <mergeCell ref="C119:E119"/>
    <mergeCell ref="A134:F134"/>
    <mergeCell ref="A135:A136"/>
    <mergeCell ref="B135:B136"/>
    <mergeCell ref="F135:F136"/>
    <mergeCell ref="C135:E135"/>
    <mergeCell ref="A122:B122"/>
    <mergeCell ref="A123:F123"/>
    <mergeCell ref="A124:A125"/>
    <mergeCell ref="B124:B125"/>
    <mergeCell ref="F124:F125"/>
    <mergeCell ref="C124:E124"/>
    <mergeCell ref="A128:B128"/>
    <mergeCell ref="A129:F129"/>
    <mergeCell ref="A130:A131"/>
    <mergeCell ref="B130:B131"/>
    <mergeCell ref="C130:E130"/>
    <mergeCell ref="F130:F131"/>
    <mergeCell ref="A133:B133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73" firstPageNumber="0" orientation="portrait" verticalDpi="300" r:id="rId1"/>
  <headerFooter>
    <oddHeader>&amp;R2020.01.hó</oddHeader>
  </headerFooter>
  <rowBreaks count="3" manualBreakCount="3">
    <brk id="41" max="16383" man="1"/>
    <brk id="86" max="5" man="1"/>
    <brk id="13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K85"/>
  <sheetViews>
    <sheetView showGridLines="0" tabSelected="1" zoomScaleNormal="100" workbookViewId="0">
      <selection activeCell="K76" sqref="K76"/>
    </sheetView>
  </sheetViews>
  <sheetFormatPr defaultRowHeight="12.75" x14ac:dyDescent="0.2"/>
  <cols>
    <col min="1" max="1" width="11.85546875" customWidth="1"/>
    <col min="2" max="2" width="40.42578125" customWidth="1"/>
    <col min="3" max="3" width="16.5703125" customWidth="1"/>
    <col min="4" max="4" width="14.7109375" customWidth="1"/>
    <col min="5" max="5" width="12.140625" customWidth="1"/>
    <col min="6" max="6" width="17.140625" customWidth="1"/>
    <col min="7" max="7" width="18.85546875" customWidth="1"/>
    <col min="8" max="10" width="8.42578125" customWidth="1"/>
    <col min="11" max="11" width="8.7109375" customWidth="1"/>
    <col min="12" max="1024" width="8.42578125" customWidth="1"/>
  </cols>
  <sheetData>
    <row r="1" spans="1:7" ht="19.5" customHeight="1" x14ac:dyDescent="0.2">
      <c r="F1" s="320" t="s">
        <v>141</v>
      </c>
    </row>
    <row r="2" spans="1:7" ht="15.75" x14ac:dyDescent="0.25">
      <c r="A2" s="1033" t="s">
        <v>646</v>
      </c>
      <c r="B2" s="1033"/>
      <c r="C2" s="1033"/>
      <c r="D2" s="1033"/>
      <c r="E2" s="1033"/>
      <c r="F2" s="1033"/>
    </row>
    <row r="3" spans="1:7" ht="15.75" x14ac:dyDescent="0.25">
      <c r="A3" s="1033" t="s">
        <v>393</v>
      </c>
      <c r="B3" s="1033"/>
      <c r="C3" s="1033"/>
      <c r="D3" s="1033"/>
      <c r="E3" s="1033"/>
      <c r="F3" s="1033"/>
    </row>
    <row r="4" spans="1:7" ht="14.25" customHeight="1" thickBot="1" x14ac:dyDescent="0.25">
      <c r="A4" s="123"/>
      <c r="B4" s="123"/>
      <c r="C4" s="123"/>
      <c r="D4" s="123"/>
      <c r="E4" s="123"/>
      <c r="F4" s="52" t="s">
        <v>45</v>
      </c>
    </row>
    <row r="5" spans="1:7" ht="20.25" customHeight="1" thickBot="1" x14ac:dyDescent="0.25">
      <c r="A5" s="1064" t="s">
        <v>3</v>
      </c>
      <c r="B5" s="1064"/>
      <c r="C5" s="1064"/>
      <c r="D5" s="1064"/>
      <c r="E5" s="1064"/>
      <c r="F5" s="1064"/>
    </row>
    <row r="6" spans="1:7" ht="15.75" customHeight="1" thickBot="1" x14ac:dyDescent="0.25">
      <c r="A6" s="1044" t="s">
        <v>46</v>
      </c>
      <c r="B6" s="1045" t="s">
        <v>47</v>
      </c>
      <c r="C6" s="1066">
        <v>2021</v>
      </c>
      <c r="D6" s="1067"/>
      <c r="E6" s="1068"/>
      <c r="F6" s="1065" t="s">
        <v>647</v>
      </c>
    </row>
    <row r="7" spans="1:7" ht="21.75" customHeight="1" thickBot="1" x14ac:dyDescent="0.25">
      <c r="A7" s="1044"/>
      <c r="B7" s="1045"/>
      <c r="C7" s="495" t="s">
        <v>48</v>
      </c>
      <c r="D7" s="483" t="s">
        <v>519</v>
      </c>
      <c r="E7" s="54" t="s">
        <v>387</v>
      </c>
      <c r="F7" s="1065"/>
      <c r="G7" s="124"/>
    </row>
    <row r="8" spans="1:7" ht="20.100000000000001" customHeight="1" x14ac:dyDescent="0.2">
      <c r="A8" s="55" t="s">
        <v>142</v>
      </c>
      <c r="B8" s="56" t="s">
        <v>143</v>
      </c>
      <c r="C8" s="773">
        <f>'Kiadások COFOG szerint'!C193+'Kiadások COFOG szerint'!C247+'Kiadások COFOG szerint'!C292</f>
        <v>13395220</v>
      </c>
      <c r="D8" s="854">
        <f t="shared" ref="D8:D19" si="0">F8-C8</f>
        <v>154780</v>
      </c>
      <c r="E8" s="819">
        <f t="shared" ref="E8:E14" si="1">F8/C8*100</f>
        <v>101.15548680798076</v>
      </c>
      <c r="F8" s="770">
        <f>'Kiadások COFOG szerint'!F193+'Kiadások COFOG szerint'!F247+'Kiadások COFOG szerint'!F292</f>
        <v>13550000</v>
      </c>
      <c r="G8" s="125"/>
    </row>
    <row r="9" spans="1:7" ht="20.100000000000001" customHeight="1" x14ac:dyDescent="0.2">
      <c r="A9" s="59" t="s">
        <v>144</v>
      </c>
      <c r="B9" s="60" t="s">
        <v>145</v>
      </c>
      <c r="C9" s="774">
        <f>'Kiadások COFOG szerint'!C10+'Kiadások COFOG szerint'!C115+'Kiadások COFOG szerint'!C125+'Kiadások COFOG szerint'!C167</f>
        <v>8640600</v>
      </c>
      <c r="D9" s="326">
        <f t="shared" si="0"/>
        <v>-480600</v>
      </c>
      <c r="E9" s="819">
        <f t="shared" si="1"/>
        <v>94.437886257898768</v>
      </c>
      <c r="F9" s="769">
        <f>'Kiadások COFOG szerint'!F10+'Kiadások COFOG szerint'!F115+'Kiadások COFOG szerint'!F125+'Kiadások COFOG szerint'!F167</f>
        <v>8160000</v>
      </c>
      <c r="G9" s="126"/>
    </row>
    <row r="10" spans="1:7" ht="20.100000000000001" customHeight="1" x14ac:dyDescent="0.2">
      <c r="A10" s="59" t="s">
        <v>428</v>
      </c>
      <c r="B10" s="60" t="s">
        <v>429</v>
      </c>
      <c r="C10" s="774">
        <f>'Kiadások COFOG szerint'!C194</f>
        <v>200000</v>
      </c>
      <c r="D10" s="326">
        <f t="shared" si="0"/>
        <v>0</v>
      </c>
      <c r="E10" s="819">
        <f t="shared" si="1"/>
        <v>100</v>
      </c>
      <c r="F10" s="769">
        <f>'Kiadások COFOG szerint'!F194</f>
        <v>200000</v>
      </c>
      <c r="G10" s="126"/>
    </row>
    <row r="11" spans="1:7" ht="20.100000000000001" customHeight="1" x14ac:dyDescent="0.2">
      <c r="A11" s="59" t="s">
        <v>549</v>
      </c>
      <c r="B11" s="60" t="s">
        <v>550</v>
      </c>
      <c r="C11" s="774">
        <f>'Kiadások COFOG szerint'!C195</f>
        <v>0</v>
      </c>
      <c r="D11" s="326">
        <f t="shared" si="0"/>
        <v>0</v>
      </c>
      <c r="E11" s="819">
        <v>0</v>
      </c>
      <c r="F11" s="769">
        <f>'Kiadások COFOG szerint'!F195</f>
        <v>0</v>
      </c>
      <c r="G11" s="126"/>
    </row>
    <row r="12" spans="1:7" ht="20.100000000000001" customHeight="1" x14ac:dyDescent="0.2">
      <c r="A12" s="59" t="s">
        <v>430</v>
      </c>
      <c r="B12" s="60" t="s">
        <v>492</v>
      </c>
      <c r="C12" s="774">
        <f>'Kiadások COFOG szerint'!C196+'Kiadások COFOG szerint'!C248+'Kiadások COFOG szerint'!C169+'Kiadások COFOG szerint'!F293</f>
        <v>550000</v>
      </c>
      <c r="D12" s="326">
        <f t="shared" si="0"/>
        <v>-100000</v>
      </c>
      <c r="E12" s="819">
        <f t="shared" si="1"/>
        <v>81.818181818181827</v>
      </c>
      <c r="F12" s="769">
        <f>'Kiadások COFOG szerint'!F196+'Kiadások COFOG szerint'!F248+'Kiadások COFOG szerint'!F293+'Kiadások COFOG szerint'!F169</f>
        <v>450000</v>
      </c>
      <c r="G12" s="125"/>
    </row>
    <row r="13" spans="1:7" ht="20.100000000000001" customHeight="1" x14ac:dyDescent="0.2">
      <c r="A13" s="59" t="s">
        <v>146</v>
      </c>
      <c r="B13" s="60" t="s">
        <v>147</v>
      </c>
      <c r="C13" s="774">
        <f>'Kiadások COFOG szerint'!C197</f>
        <v>0</v>
      </c>
      <c r="D13" s="326">
        <f t="shared" si="0"/>
        <v>0</v>
      </c>
      <c r="E13" s="819">
        <v>0</v>
      </c>
      <c r="F13" s="769">
        <f>'Kiadások COFOG szerint'!F197</f>
        <v>0</v>
      </c>
      <c r="G13" s="125"/>
    </row>
    <row r="14" spans="1:7" ht="20.100000000000001" customHeight="1" x14ac:dyDescent="0.2">
      <c r="A14" s="59" t="s">
        <v>148</v>
      </c>
      <c r="B14" s="60" t="s">
        <v>149</v>
      </c>
      <c r="C14" s="774">
        <f>'Kiadások COFOG szerint'!C170+'Kiadások COFOG szerint'!C198+'Kiadások COFOG szerint'!C249+'Kiadások COFOG szerint'!C294</f>
        <v>60000</v>
      </c>
      <c r="D14" s="326">
        <f t="shared" si="0"/>
        <v>-12000</v>
      </c>
      <c r="E14" s="819">
        <f t="shared" si="1"/>
        <v>80</v>
      </c>
      <c r="F14" s="769">
        <f>'Kiadások COFOG szerint'!F170+'Kiadások COFOG szerint'!F198+'Kiadások COFOG szerint'!F249+'Kiadások COFOG szerint'!F294</f>
        <v>48000</v>
      </c>
      <c r="G14" s="125"/>
    </row>
    <row r="15" spans="1:7" ht="20.100000000000001" customHeight="1" x14ac:dyDescent="0.2">
      <c r="A15" s="59" t="s">
        <v>493</v>
      </c>
      <c r="B15" s="60" t="s">
        <v>395</v>
      </c>
      <c r="C15" s="774">
        <f>'Kiadások COFOG szerint'!C14</f>
        <v>0</v>
      </c>
      <c r="D15" s="326">
        <f t="shared" si="0"/>
        <v>0</v>
      </c>
      <c r="E15" s="819">
        <v>0</v>
      </c>
      <c r="F15" s="769">
        <f>'Kiadások COFOG szerint'!F14</f>
        <v>0</v>
      </c>
      <c r="G15" s="481"/>
    </row>
    <row r="16" spans="1:7" ht="20.100000000000001" customHeight="1" x14ac:dyDescent="0.2">
      <c r="A16" s="59" t="s">
        <v>150</v>
      </c>
      <c r="B16" s="60" t="s">
        <v>151</v>
      </c>
      <c r="C16" s="774">
        <f>'Kiadások COFOG szerint'!C250+'Kiadások COFOG szerint'!C126+'Kiadások COFOG szerint'!C171+'Kiadások COFOG szerint'!C199</f>
        <v>292000</v>
      </c>
      <c r="D16" s="326">
        <f t="shared" si="0"/>
        <v>286000</v>
      </c>
      <c r="E16" s="819">
        <f t="shared" ref="E16:E21" si="2">F16/C16*100</f>
        <v>197.94520547945206</v>
      </c>
      <c r="F16" s="769">
        <f>'Kiadások COFOG szerint'!F126+'Kiadások COFOG szerint'!F171+'Kiadások COFOG szerint'!F199+'Kiadások COFOG szerint'!F250</f>
        <v>578000</v>
      </c>
      <c r="G16" s="126"/>
    </row>
    <row r="17" spans="1:7" ht="20.100000000000001" customHeight="1" x14ac:dyDescent="0.2">
      <c r="A17" s="59" t="s">
        <v>152</v>
      </c>
      <c r="B17" s="60" t="s">
        <v>153</v>
      </c>
      <c r="C17" s="774">
        <f>'Kiadások COFOG szerint'!C15</f>
        <v>15250000</v>
      </c>
      <c r="D17" s="326">
        <f t="shared" si="0"/>
        <v>5650000</v>
      </c>
      <c r="E17" s="819">
        <f t="shared" si="2"/>
        <v>137.04918032786887</v>
      </c>
      <c r="F17" s="769">
        <f>'Kiadások COFOG szerint'!F15</f>
        <v>20900000</v>
      </c>
      <c r="G17" s="125"/>
    </row>
    <row r="18" spans="1:7" ht="27" customHeight="1" x14ac:dyDescent="0.2">
      <c r="A18" s="59" t="s">
        <v>154</v>
      </c>
      <c r="B18" s="60" t="s">
        <v>155</v>
      </c>
      <c r="C18" s="774">
        <f>'Kiadások COFOG szerint'!C16+'Kiadások COFOG szerint'!C200+'Kiadások COFOG szerint'!C230</f>
        <v>2320840</v>
      </c>
      <c r="D18" s="326">
        <f t="shared" si="0"/>
        <v>2460980</v>
      </c>
      <c r="E18" s="819">
        <f t="shared" si="2"/>
        <v>206.03833094913909</v>
      </c>
      <c r="F18" s="769">
        <f>'Kiadások COFOG szerint'!F16+'Kiadások COFOG szerint'!F200+'Kiadások COFOG szerint'!F230+'Kiadások COFOG szerint'!F295</f>
        <v>4781820</v>
      </c>
      <c r="G18" s="125"/>
    </row>
    <row r="19" spans="1:7" ht="20.100000000000001" customHeight="1" thickBot="1" x14ac:dyDescent="0.25">
      <c r="A19" s="63" t="s">
        <v>156</v>
      </c>
      <c r="B19" s="64" t="s">
        <v>157</v>
      </c>
      <c r="C19" s="778">
        <f>'Kiadások COFOG szerint'!C17+'Kiadások COFOG szerint'!C92</f>
        <v>450000</v>
      </c>
      <c r="D19" s="624">
        <f t="shared" si="0"/>
        <v>0</v>
      </c>
      <c r="E19" s="819">
        <f t="shared" si="2"/>
        <v>100</v>
      </c>
      <c r="F19" s="771">
        <f>'Kiadások COFOG szerint'!F17+'Kiadások COFOG szerint'!F92</f>
        <v>450000</v>
      </c>
      <c r="G19" s="125"/>
    </row>
    <row r="20" spans="1:7" ht="24.95" customHeight="1" thickBot="1" x14ac:dyDescent="0.25">
      <c r="A20" s="1069" t="s">
        <v>9</v>
      </c>
      <c r="B20" s="1069"/>
      <c r="C20" s="533">
        <f>SUM(C8:C19)</f>
        <v>41158660</v>
      </c>
      <c r="D20" s="127">
        <f>SUM(D8:D19)</f>
        <v>7959160</v>
      </c>
      <c r="E20" s="820">
        <f t="shared" si="2"/>
        <v>119.33775297835254</v>
      </c>
      <c r="F20" s="130">
        <f>SUM(F8:F19)</f>
        <v>49117820</v>
      </c>
      <c r="G20" s="126"/>
    </row>
    <row r="21" spans="1:7" ht="20.100000000000001" customHeight="1" thickBot="1" x14ac:dyDescent="0.25">
      <c r="A21" s="55" t="s">
        <v>158</v>
      </c>
      <c r="B21" s="56" t="s">
        <v>159</v>
      </c>
      <c r="C21" s="780">
        <f>'Kiadások COFOG szerint'!C19+'Kiadások COFOG szerint'!C116+'Kiadások COFOG szerint'!C127+'Kiadások COFOG szerint'!C172+'Kiadások COFOG szerint'!C201+'Kiadások COFOG szerint'!C231+'Kiadások COFOG szerint'!C251+'Kiadások COFOG szerint'!C296</f>
        <v>6768000</v>
      </c>
      <c r="D21" s="325">
        <f>F21-C21</f>
        <v>44000</v>
      </c>
      <c r="E21" s="821">
        <f t="shared" si="2"/>
        <v>100.65011820330969</v>
      </c>
      <c r="F21" s="770">
        <f>'Kiadások COFOG szerint'!F19+'Kiadások COFOG szerint'!F116+'Kiadások COFOG szerint'!F127+'Kiadások COFOG szerint'!F172+'Kiadások COFOG szerint'!F201+'Kiadások COFOG szerint'!F231+'Kiadások COFOG szerint'!F251+'Kiadások COFOG szerint'!F296+'Kiadások COFOG szerint'!F93</f>
        <v>6812000</v>
      </c>
      <c r="G21" s="125"/>
    </row>
    <row r="22" spans="1:7" ht="24.95" customHeight="1" thickBot="1" x14ac:dyDescent="0.25">
      <c r="A22" s="1069" t="s">
        <v>13</v>
      </c>
      <c r="B22" s="1069"/>
      <c r="C22" s="533">
        <f>SUM(C21:C21)</f>
        <v>6768000</v>
      </c>
      <c r="D22" s="127">
        <f>SUM(D21:D21)</f>
        <v>44000</v>
      </c>
      <c r="E22" s="820">
        <f t="shared" ref="E22:E36" si="3">F22/C22*100</f>
        <v>100.65011820330969</v>
      </c>
      <c r="F22" s="128">
        <f>SUM(F21:F21)</f>
        <v>6812000</v>
      </c>
      <c r="G22" s="126"/>
    </row>
    <row r="23" spans="1:7" ht="20.100000000000001" customHeight="1" x14ac:dyDescent="0.2">
      <c r="A23" s="55" t="s">
        <v>162</v>
      </c>
      <c r="B23" s="56" t="s">
        <v>163</v>
      </c>
      <c r="C23" s="780">
        <f>'Kiadások COFOG szerint'!C21+'Kiadások COFOG szerint'!C202</f>
        <v>170000</v>
      </c>
      <c r="D23" s="776">
        <f t="shared" ref="D23:D51" si="4">F23-C23</f>
        <v>-10000</v>
      </c>
      <c r="E23" s="822">
        <f t="shared" si="3"/>
        <v>94.117647058823522</v>
      </c>
      <c r="F23" s="770">
        <f>'Kiadások COFOG szerint'!F21+'Kiadások COFOG szerint'!F202</f>
        <v>160000</v>
      </c>
      <c r="G23" s="125"/>
    </row>
    <row r="24" spans="1:7" ht="20.100000000000001" hidden="1" customHeight="1" x14ac:dyDescent="0.2">
      <c r="A24" s="59" t="s">
        <v>164</v>
      </c>
      <c r="B24" s="60" t="s">
        <v>165</v>
      </c>
      <c r="C24" s="781"/>
      <c r="D24" s="776">
        <f t="shared" si="4"/>
        <v>0</v>
      </c>
      <c r="E24" s="822" t="e">
        <f t="shared" si="3"/>
        <v>#DIV/0!</v>
      </c>
      <c r="F24" s="769"/>
      <c r="G24" s="126"/>
    </row>
    <row r="25" spans="1:7" ht="20.100000000000001" hidden="1" customHeight="1" x14ac:dyDescent="0.2">
      <c r="A25" s="59" t="s">
        <v>166</v>
      </c>
      <c r="B25" s="60" t="s">
        <v>167</v>
      </c>
      <c r="C25" s="781"/>
      <c r="D25" s="776">
        <f t="shared" si="4"/>
        <v>0</v>
      </c>
      <c r="E25" s="822" t="e">
        <f t="shared" si="3"/>
        <v>#DIV/0!</v>
      </c>
      <c r="F25" s="769"/>
      <c r="G25" s="126"/>
    </row>
    <row r="26" spans="1:7" ht="20.100000000000001" hidden="1" customHeight="1" x14ac:dyDescent="0.2">
      <c r="A26" s="59" t="s">
        <v>168</v>
      </c>
      <c r="B26" s="60" t="s">
        <v>169</v>
      </c>
      <c r="C26" s="781"/>
      <c r="D26" s="776">
        <f t="shared" si="4"/>
        <v>0</v>
      </c>
      <c r="E26" s="822" t="e">
        <f t="shared" si="3"/>
        <v>#DIV/0!</v>
      </c>
      <c r="F26" s="769"/>
      <c r="G26" s="126"/>
    </row>
    <row r="27" spans="1:7" ht="20.100000000000001" customHeight="1" x14ac:dyDescent="0.2">
      <c r="A27" s="59" t="s">
        <v>170</v>
      </c>
      <c r="B27" s="60" t="s">
        <v>171</v>
      </c>
      <c r="C27" s="774">
        <f>SUM('Kiadások COFOG szerint'!C22+'Kiadások COFOG szerint'!C62+'Kiadások COFOG szerint'!C77+'Kiadások COFOG szerint'!C94+'Kiadások COFOG szerint'!C117+'Kiadások COFOG szerint'!C128+'Kiadások COFOG szerint'!C134+'Kiadások COFOG szerint'!C159+'Kiadások COFOG szerint'!C174+'Kiadások COFOG szerint'!C203+'Kiadások COFOG szerint'!C233+'Kiadások COFOG szerint'!C252+'Kiadások COFOG szerint'!C303)</f>
        <v>6310000</v>
      </c>
      <c r="D27" s="776">
        <f t="shared" si="4"/>
        <v>940000</v>
      </c>
      <c r="E27" s="822">
        <f t="shared" si="3"/>
        <v>114.89698890649763</v>
      </c>
      <c r="F27" s="769">
        <f>SUM('Kiadások COFOG szerint'!F22+'Kiadások COFOG szerint'!F62+'Kiadások COFOG szerint'!F77+'Kiadások COFOG szerint'!F94+'Kiadások COFOG szerint'!F117+'Kiadások COFOG szerint'!F128+'Kiadások COFOG szerint'!F134+'Kiadások COFOG szerint'!F159+'Kiadások COFOG szerint'!F174+'Kiadások COFOG szerint'!F203+'Kiadások COFOG szerint'!F233+'Kiadások COFOG szerint'!F252+'Kiadások COFOG szerint'!F303)</f>
        <v>7250000</v>
      </c>
      <c r="G27" s="126"/>
    </row>
    <row r="28" spans="1:7" ht="20.100000000000001" hidden="1" customHeight="1" x14ac:dyDescent="0.2">
      <c r="A28" s="59" t="s">
        <v>172</v>
      </c>
      <c r="B28" s="129" t="s">
        <v>173</v>
      </c>
      <c r="C28" s="534"/>
      <c r="D28" s="776">
        <f t="shared" si="4"/>
        <v>0</v>
      </c>
      <c r="E28" s="822" t="e">
        <f t="shared" si="3"/>
        <v>#DIV/0!</v>
      </c>
      <c r="F28" s="769"/>
      <c r="G28" s="126"/>
    </row>
    <row r="29" spans="1:7" ht="20.100000000000001" hidden="1" customHeight="1" x14ac:dyDescent="0.2">
      <c r="A29" s="59" t="s">
        <v>174</v>
      </c>
      <c r="B29" s="129" t="s">
        <v>175</v>
      </c>
      <c r="C29" s="534"/>
      <c r="D29" s="776">
        <f t="shared" si="4"/>
        <v>0</v>
      </c>
      <c r="E29" s="822" t="e">
        <f t="shared" si="3"/>
        <v>#DIV/0!</v>
      </c>
      <c r="F29" s="769"/>
      <c r="G29" s="126"/>
    </row>
    <row r="30" spans="1:7" ht="20.100000000000001" hidden="1" customHeight="1" x14ac:dyDescent="0.2">
      <c r="A30" s="59" t="s">
        <v>176</v>
      </c>
      <c r="B30" s="129" t="s">
        <v>177</v>
      </c>
      <c r="C30" s="534"/>
      <c r="D30" s="776">
        <f t="shared" si="4"/>
        <v>0</v>
      </c>
      <c r="E30" s="822" t="e">
        <f t="shared" si="3"/>
        <v>#DIV/0!</v>
      </c>
      <c r="F30" s="769"/>
      <c r="G30" s="126"/>
    </row>
    <row r="31" spans="1:7" ht="20.100000000000001" hidden="1" customHeight="1" x14ac:dyDescent="0.2">
      <c r="A31" s="59" t="s">
        <v>178</v>
      </c>
      <c r="B31" s="129" t="s">
        <v>179</v>
      </c>
      <c r="C31" s="534"/>
      <c r="D31" s="776">
        <f t="shared" si="4"/>
        <v>0</v>
      </c>
      <c r="E31" s="822" t="e">
        <f t="shared" si="3"/>
        <v>#DIV/0!</v>
      </c>
      <c r="F31" s="769"/>
      <c r="G31" s="126"/>
    </row>
    <row r="32" spans="1:7" ht="20.100000000000001" hidden="1" customHeight="1" x14ac:dyDescent="0.2">
      <c r="A32" s="59" t="s">
        <v>180</v>
      </c>
      <c r="B32" s="129" t="s">
        <v>181</v>
      </c>
      <c r="C32" s="534"/>
      <c r="D32" s="776">
        <f t="shared" si="4"/>
        <v>0</v>
      </c>
      <c r="E32" s="822" t="e">
        <f t="shared" si="3"/>
        <v>#DIV/0!</v>
      </c>
      <c r="F32" s="769"/>
      <c r="G32" s="126"/>
    </row>
    <row r="33" spans="1:7" ht="19.5" hidden="1" customHeight="1" x14ac:dyDescent="0.2">
      <c r="A33" s="59" t="s">
        <v>182</v>
      </c>
      <c r="B33" s="129" t="s">
        <v>183</v>
      </c>
      <c r="C33" s="534"/>
      <c r="D33" s="776">
        <f t="shared" si="4"/>
        <v>0</v>
      </c>
      <c r="E33" s="822" t="e">
        <f t="shared" si="3"/>
        <v>#DIV/0!</v>
      </c>
      <c r="F33" s="769"/>
      <c r="G33" s="126"/>
    </row>
    <row r="34" spans="1:7" ht="20.100000000000001" customHeight="1" x14ac:dyDescent="0.2">
      <c r="A34" s="59" t="s">
        <v>184</v>
      </c>
      <c r="B34" s="60" t="s">
        <v>323</v>
      </c>
      <c r="C34" s="774">
        <f>'Kiadások COFOG szerint'!C23+'Kiadások COFOG szerint'!C204</f>
        <v>1162800</v>
      </c>
      <c r="D34" s="776">
        <f t="shared" si="4"/>
        <v>482400</v>
      </c>
      <c r="E34" s="822">
        <f t="shared" si="3"/>
        <v>141.4860681114551</v>
      </c>
      <c r="F34" s="769">
        <f>'Kiadások COFOG szerint'!F23+'Kiadások COFOG szerint'!F204+'Kiadások COFOG szerint'!F175</f>
        <v>1645200</v>
      </c>
      <c r="G34" s="126"/>
    </row>
    <row r="35" spans="1:7" ht="20.100000000000001" customHeight="1" x14ac:dyDescent="0.2">
      <c r="A35" s="59" t="s">
        <v>185</v>
      </c>
      <c r="B35" s="60" t="s">
        <v>186</v>
      </c>
      <c r="C35" s="774">
        <f>'Kiadások COFOG szerint'!C24+'Kiadások COFOG szerint'!C205</f>
        <v>450000</v>
      </c>
      <c r="D35" s="776">
        <f t="shared" si="4"/>
        <v>21600</v>
      </c>
      <c r="E35" s="822">
        <f t="shared" si="3"/>
        <v>104.80000000000001</v>
      </c>
      <c r="F35" s="769">
        <f>'Kiadások COFOG szerint'!F24+'Kiadások COFOG szerint'!F205</f>
        <v>471600</v>
      </c>
      <c r="G35" s="126"/>
    </row>
    <row r="36" spans="1:7" ht="20.100000000000001" customHeight="1" x14ac:dyDescent="0.2">
      <c r="A36" s="59" t="s">
        <v>187</v>
      </c>
      <c r="B36" s="60" t="s">
        <v>188</v>
      </c>
      <c r="C36" s="774">
        <f>SUM('Kiadások COFOG szerint'!C25+'Kiadások COFOG szerint'!C63+'Kiadások COFOG szerint'!C64+'Kiadások COFOG szerint'!C78+'Kiadások COFOG szerint'!C145+'Kiadások COFOG szerint'!C160+'Kiadások COFOG szerint'!C176)</f>
        <v>9910000</v>
      </c>
      <c r="D36" s="776">
        <f t="shared" si="4"/>
        <v>-990000</v>
      </c>
      <c r="E36" s="822">
        <f t="shared" si="3"/>
        <v>90.0100908173562</v>
      </c>
      <c r="F36" s="769">
        <f>SUM('Kiadások COFOG szerint'!F25+'Kiadások COFOG szerint'!F63+'Kiadások COFOG szerint'!F64+'Kiadások COFOG szerint'!F78+'Kiadások COFOG szerint'!F145+'Kiadások COFOG szerint'!F160+'Kiadások COFOG szerint'!F176)</f>
        <v>8920000</v>
      </c>
      <c r="G36" s="126"/>
    </row>
    <row r="37" spans="1:7" ht="20.100000000000001" customHeight="1" x14ac:dyDescent="0.2">
      <c r="A37" s="59" t="s">
        <v>189</v>
      </c>
      <c r="B37" s="129" t="s">
        <v>190</v>
      </c>
      <c r="C37" s="774"/>
      <c r="D37" s="776"/>
      <c r="E37" s="822">
        <v>0</v>
      </c>
      <c r="F37" s="62">
        <f>'Kiadások COFOG szerint'!F26+'Kiadások COFOG szerint'!F79+'Kiadások COFOG szerint'!F160</f>
        <v>5220000</v>
      </c>
      <c r="G37" s="126"/>
    </row>
    <row r="38" spans="1:7" ht="20.100000000000001" customHeight="1" x14ac:dyDescent="0.2">
      <c r="A38" s="59" t="s">
        <v>191</v>
      </c>
      <c r="B38" s="129" t="s">
        <v>192</v>
      </c>
      <c r="C38" s="774"/>
      <c r="D38" s="776"/>
      <c r="E38" s="822">
        <v>0</v>
      </c>
      <c r="F38" s="62">
        <f>'Kiadások COFOG szerint'!F27+'Kiadások COFOG szerint'!F80+'Kiadások COFOG szerint'!F176</f>
        <v>3400000</v>
      </c>
      <c r="G38" s="126"/>
    </row>
    <row r="39" spans="1:7" ht="20.100000000000001" customHeight="1" x14ac:dyDescent="0.2">
      <c r="A39" s="59" t="s">
        <v>193</v>
      </c>
      <c r="B39" s="129" t="s">
        <v>194</v>
      </c>
      <c r="C39" s="774"/>
      <c r="D39" s="776"/>
      <c r="E39" s="822">
        <v>0</v>
      </c>
      <c r="F39" s="62">
        <f>'Kiadások COFOG szerint'!F81+'Kiadások COFOG szerint'!F28</f>
        <v>300000</v>
      </c>
      <c r="G39" s="126"/>
    </row>
    <row r="40" spans="1:7" ht="20.100000000000001" customHeight="1" x14ac:dyDescent="0.2">
      <c r="A40" s="59" t="s">
        <v>195</v>
      </c>
      <c r="B40" s="60" t="s">
        <v>196</v>
      </c>
      <c r="C40" s="774">
        <f>'Kiadások COFOG szerint'!C254+'Kiadások COFOG szerint'!C275+'Kiadások COFOG szerint'!C281</f>
        <v>13200000</v>
      </c>
      <c r="D40" s="776">
        <f t="shared" si="4"/>
        <v>-1900000</v>
      </c>
      <c r="E40" s="822">
        <f t="shared" ref="E40:E52" si="5">F40/C40*100</f>
        <v>85.606060606060609</v>
      </c>
      <c r="F40" s="769">
        <f>'Kiadások COFOG szerint'!F254+'Kiadások COFOG szerint'!F275+'Kiadások COFOG szerint'!F281</f>
        <v>11300000</v>
      </c>
      <c r="G40" s="126"/>
    </row>
    <row r="41" spans="1:7" ht="20.100000000000001" customHeight="1" x14ac:dyDescent="0.2">
      <c r="A41" s="59" t="s">
        <v>197</v>
      </c>
      <c r="B41" s="60" t="s">
        <v>198</v>
      </c>
      <c r="C41" s="774">
        <f>'Kiadások COFOG szerint'!C29</f>
        <v>150000</v>
      </c>
      <c r="D41" s="776">
        <f t="shared" si="4"/>
        <v>0</v>
      </c>
      <c r="E41" s="822">
        <f t="shared" si="5"/>
        <v>100</v>
      </c>
      <c r="F41" s="769">
        <f>'Kiadások COFOG szerint'!F29</f>
        <v>150000</v>
      </c>
      <c r="G41" s="126"/>
    </row>
    <row r="42" spans="1:7" ht="20.100000000000001" customHeight="1" x14ac:dyDescent="0.2">
      <c r="A42" s="59" t="s">
        <v>199</v>
      </c>
      <c r="B42" s="60" t="s">
        <v>200</v>
      </c>
      <c r="C42" s="774">
        <f>SUM('Kiadások COFOG szerint'!C30+'Kiadások COFOG szerint'!C65+'Kiadások COFOG szerint'!C82+'Kiadások COFOG szerint'!C146+'Kiadások COFOG szerint'!C161+'Kiadások COFOG szerint'!C178+'Kiadások COFOG szerint'!C206+'Kiadások COFOG szerint'!C135+'Kiadások COFOG szerint'!C255)</f>
        <v>4915000</v>
      </c>
      <c r="D42" s="776">
        <f t="shared" si="4"/>
        <v>-205000</v>
      </c>
      <c r="E42" s="822">
        <f t="shared" si="5"/>
        <v>95.829094608341819</v>
      </c>
      <c r="F42" s="769">
        <f>SUM('Kiadások COFOG szerint'!F30+'Kiadások COFOG szerint'!F65+'Kiadások COFOG szerint'!F82+'Kiadások COFOG szerint'!F146+'Kiadások COFOG szerint'!F161+'Kiadások COFOG szerint'!F178+'Kiadások COFOG szerint'!F206+'Kiadások COFOG szerint'!F135+'Kiadások COFOG szerint'!F255)</f>
        <v>4710000</v>
      </c>
      <c r="G42" s="126"/>
    </row>
    <row r="43" spans="1:7" ht="20.100000000000001" customHeight="1" x14ac:dyDescent="0.2">
      <c r="A43" s="59" t="s">
        <v>494</v>
      </c>
      <c r="B43" s="60" t="s">
        <v>495</v>
      </c>
      <c r="C43" s="774">
        <f>'Kiadások COFOG szerint'!C31</f>
        <v>2265000</v>
      </c>
      <c r="D43" s="776">
        <f t="shared" si="4"/>
        <v>2925000</v>
      </c>
      <c r="E43" s="822">
        <f t="shared" si="5"/>
        <v>229.13907284768214</v>
      </c>
      <c r="F43" s="769">
        <f>'Kiadások COFOG szerint'!F31</f>
        <v>5190000</v>
      </c>
      <c r="G43" s="126"/>
    </row>
    <row r="44" spans="1:7" ht="20.100000000000001" customHeight="1" x14ac:dyDescent="0.2">
      <c r="A44" s="59" t="s">
        <v>201</v>
      </c>
      <c r="B44" s="60" t="s">
        <v>202</v>
      </c>
      <c r="C44" s="774">
        <f>'Kiadások COFOG szerint'!C32+'Kiadások COFOG szerint'!C207+'Kiadások COFOG szerint'!C219+'Kiadások COFOG szerint'!C256+'Kiadások COFOG szerint'!C297</f>
        <v>1745000</v>
      </c>
      <c r="D44" s="776">
        <f t="shared" si="4"/>
        <v>1137000</v>
      </c>
      <c r="E44" s="822">
        <f t="shared" si="5"/>
        <v>165.15759312320915</v>
      </c>
      <c r="F44" s="769">
        <f>'Kiadások COFOG szerint'!F32+'Kiadások COFOG szerint'!F207+'Kiadások COFOG szerint'!F219+'Kiadások COFOG szerint'!F256+'Kiadások COFOG szerint'!F297</f>
        <v>2882000</v>
      </c>
      <c r="G44" s="126"/>
    </row>
    <row r="45" spans="1:7" ht="20.100000000000001" customHeight="1" x14ac:dyDescent="0.2">
      <c r="A45" s="59" t="s">
        <v>205</v>
      </c>
      <c r="B45" s="60" t="s">
        <v>206</v>
      </c>
      <c r="C45" s="774">
        <f>'Kiadások COFOG szerint'!C33+'Kiadások COFOG szerint'!C66+'Kiadások COFOG szerint'!C83+'Kiadások COFOG szerint'!C96+'Kiadások COFOG szerint'!C136+'Kiadások COFOG szerint'!C180+'Kiadások COFOG szerint'!C208+'Kiadások COFOG szerint'!C234+'Kiadások COFOG szerint'!C257+'Kiadások COFOG szerint'!C305</f>
        <v>10164000</v>
      </c>
      <c r="D45" s="776">
        <f t="shared" si="4"/>
        <v>216000</v>
      </c>
      <c r="E45" s="822">
        <f t="shared" si="5"/>
        <v>102.12514757969305</v>
      </c>
      <c r="F45" s="769">
        <f>'Kiadások COFOG szerint'!F33+'Kiadások COFOG szerint'!F66+'Kiadások COFOG szerint'!F83+'Kiadások COFOG szerint'!F96+'Kiadások COFOG szerint'!F136+'Kiadások COFOG szerint'!F180+'Kiadások COFOG szerint'!F208+'Kiadások COFOG szerint'!F234+'Kiadások COFOG szerint'!F257+'Kiadások COFOG szerint'!F305</f>
        <v>10380000</v>
      </c>
      <c r="G45" s="126"/>
    </row>
    <row r="46" spans="1:7" ht="20.100000000000001" customHeight="1" x14ac:dyDescent="0.2">
      <c r="A46" s="59" t="s">
        <v>211</v>
      </c>
      <c r="B46" s="60" t="s">
        <v>212</v>
      </c>
      <c r="C46" s="774">
        <f>'Kiadások COFOG szerint'!C34+'Kiadások COFOG szerint'!C97+'Kiadások COFOG szerint'!C209</f>
        <v>250000</v>
      </c>
      <c r="D46" s="776">
        <f t="shared" si="4"/>
        <v>0</v>
      </c>
      <c r="E46" s="822">
        <f t="shared" si="5"/>
        <v>100</v>
      </c>
      <c r="F46" s="769">
        <f>'Kiadások COFOG szerint'!F34+'Kiadások COFOG szerint'!F97+'Kiadások COFOG szerint'!F209</f>
        <v>250000</v>
      </c>
      <c r="G46" s="126"/>
    </row>
    <row r="47" spans="1:7" ht="19.5" customHeight="1" x14ac:dyDescent="0.2">
      <c r="A47" s="59" t="s">
        <v>213</v>
      </c>
      <c r="B47" s="60" t="s">
        <v>214</v>
      </c>
      <c r="C47" s="774">
        <f>'Kiadások COFOG szerint'!C35+'Kiadások COFOG szerint'!C68+'Kiadások COFOG szerint'!C84+'Kiadások COFOG szerint'!C98+'Kiadások COFOG szerint'!C118+'Kiadások COFOG szerint'!C129+'Kiadások COFOG szerint'!C138+'Kiadások COFOG szerint'!C162+'Kiadások COFOG szerint'!C182+'Kiadások COFOG szerint'!C210+'Kiadások COFOG szerint'!C235+'Kiadások COFOG szerint'!C258+'Kiadások COFOG szerint'!C276+'Kiadások COFOG szerint'!C282+'Kiadások COFOG szerint'!C306</f>
        <v>11166000</v>
      </c>
      <c r="D47" s="776">
        <f t="shared" si="4"/>
        <v>157000</v>
      </c>
      <c r="E47" s="822">
        <f t="shared" si="5"/>
        <v>101.40605409278164</v>
      </c>
      <c r="F47" s="769">
        <f>'Kiadások COFOG szerint'!F35+'Kiadások COFOG szerint'!F68+'Kiadások COFOG szerint'!F84+'Kiadások COFOG szerint'!F98+'Kiadások COFOG szerint'!F118+'Kiadások COFOG szerint'!F129+'Kiadások COFOG szerint'!F138+'Kiadások COFOG szerint'!F162+'Kiadások COFOG szerint'!F182+'Kiadások COFOG szerint'!F210+'Kiadások COFOG szerint'!F235+'Kiadások COFOG szerint'!F258+'Kiadások COFOG szerint'!F276+'Kiadások COFOG szerint'!F282+'Kiadások COFOG szerint'!F306</f>
        <v>11323000</v>
      </c>
      <c r="G47" s="126"/>
    </row>
    <row r="48" spans="1:7" ht="20.100000000000001" customHeight="1" x14ac:dyDescent="0.2">
      <c r="A48" s="59" t="s">
        <v>215</v>
      </c>
      <c r="B48" s="60" t="s">
        <v>216</v>
      </c>
      <c r="C48" s="774">
        <f>'Kiadások COFOG szerint'!C36</f>
        <v>2500000</v>
      </c>
      <c r="D48" s="776">
        <f t="shared" si="4"/>
        <v>0</v>
      </c>
      <c r="E48" s="822">
        <f t="shared" si="5"/>
        <v>100</v>
      </c>
      <c r="F48" s="769">
        <f>'Kiadások COFOG szerint'!F36</f>
        <v>2500000</v>
      </c>
      <c r="G48" s="126"/>
    </row>
    <row r="49" spans="1:11" ht="20.100000000000001" customHeight="1" x14ac:dyDescent="0.2">
      <c r="A49" s="59" t="s">
        <v>217</v>
      </c>
      <c r="B49" s="60" t="s">
        <v>218</v>
      </c>
      <c r="C49" s="774">
        <f>'Kiadások COFOG szerint'!C37+'Kiadások COFOG szerint'!C183</f>
        <v>10000</v>
      </c>
      <c r="D49" s="776">
        <f t="shared" si="4"/>
        <v>0</v>
      </c>
      <c r="E49" s="822">
        <f t="shared" si="5"/>
        <v>100</v>
      </c>
      <c r="F49" s="769">
        <f>'Kiadások COFOG szerint'!F37+'Kiadások COFOG szerint'!F183</f>
        <v>10000</v>
      </c>
      <c r="G49" s="126"/>
    </row>
    <row r="50" spans="1:11" ht="20.100000000000001" customHeight="1" x14ac:dyDescent="0.2">
      <c r="A50" s="59" t="s">
        <v>219</v>
      </c>
      <c r="B50" s="60" t="s">
        <v>220</v>
      </c>
      <c r="C50" s="774">
        <f>'Kiadások COFOG szerint'!C38</f>
        <v>300000</v>
      </c>
      <c r="D50" s="776">
        <f t="shared" si="4"/>
        <v>-80000</v>
      </c>
      <c r="E50" s="822">
        <f t="shared" si="5"/>
        <v>73.333333333333329</v>
      </c>
      <c r="F50" s="769">
        <f>'Kiadások COFOG szerint'!F38</f>
        <v>220000</v>
      </c>
      <c r="G50" s="126"/>
    </row>
    <row r="51" spans="1:11" ht="20.100000000000001" customHeight="1" thickBot="1" x14ac:dyDescent="0.25">
      <c r="A51" s="63" t="s">
        <v>221</v>
      </c>
      <c r="B51" s="64" t="s">
        <v>222</v>
      </c>
      <c r="C51" s="775">
        <f>'Kiadások COFOG szerint'!C39</f>
        <v>0</v>
      </c>
      <c r="D51" s="776">
        <f t="shared" si="4"/>
        <v>0</v>
      </c>
      <c r="E51" s="822">
        <v>0</v>
      </c>
      <c r="F51" s="771">
        <f>'Kiadások COFOG szerint'!F39</f>
        <v>0</v>
      </c>
      <c r="G51" s="126"/>
    </row>
    <row r="52" spans="1:11" ht="24.95" customHeight="1" thickBot="1" x14ac:dyDescent="0.25">
      <c r="A52" s="1069" t="s">
        <v>17</v>
      </c>
      <c r="B52" s="1069"/>
      <c r="C52" s="535">
        <f>SUM(C23:C51)</f>
        <v>64667800</v>
      </c>
      <c r="D52" s="130">
        <f t="shared" ref="D52" si="6">SUM(D23:D36,D40:D51)</f>
        <v>2694000</v>
      </c>
      <c r="E52" s="823">
        <f t="shared" si="5"/>
        <v>104.1659063707131</v>
      </c>
      <c r="F52" s="130">
        <f>SUM(F23:F36,F40:F51)</f>
        <v>67361800</v>
      </c>
      <c r="G52" s="126"/>
    </row>
    <row r="53" spans="1:11" ht="21.75" customHeight="1" x14ac:dyDescent="0.2">
      <c r="A53" s="131" t="s">
        <v>223</v>
      </c>
      <c r="B53" s="132" t="s">
        <v>224</v>
      </c>
      <c r="C53" s="536">
        <v>0</v>
      </c>
      <c r="D53" s="325">
        <f>F53-C53</f>
        <v>0</v>
      </c>
      <c r="E53" s="851">
        <v>0</v>
      </c>
      <c r="F53" s="772">
        <f>'Kiadások COFOG szerint'!F287</f>
        <v>0</v>
      </c>
      <c r="G53" s="126"/>
    </row>
    <row r="54" spans="1:11" ht="20.100000000000001" customHeight="1" x14ac:dyDescent="0.2">
      <c r="A54" s="55" t="s">
        <v>225</v>
      </c>
      <c r="B54" s="56" t="s">
        <v>226</v>
      </c>
      <c r="C54" s="628">
        <v>0</v>
      </c>
      <c r="D54" s="624">
        <f>F54-C54</f>
        <v>0</v>
      </c>
      <c r="E54" s="851">
        <v>0</v>
      </c>
      <c r="F54" s="770"/>
      <c r="G54" s="133"/>
    </row>
    <row r="55" spans="1:11" x14ac:dyDescent="0.2">
      <c r="A55" s="59" t="s">
        <v>227</v>
      </c>
      <c r="B55" s="60" t="s">
        <v>308</v>
      </c>
      <c r="C55" s="781">
        <f>SUM('Kiadások COFOG szerint'!C308)</f>
        <v>5300000</v>
      </c>
      <c r="D55" s="779">
        <f>F55-C55</f>
        <v>1000000</v>
      </c>
      <c r="E55" s="851">
        <v>0</v>
      </c>
      <c r="F55" s="769">
        <f>'Kiadások COFOG szerint'!F308</f>
        <v>6300000</v>
      </c>
      <c r="G55" s="133"/>
    </row>
    <row r="56" spans="1:11" ht="20.100000000000001" customHeight="1" x14ac:dyDescent="0.2">
      <c r="A56" s="59" t="s">
        <v>228</v>
      </c>
      <c r="B56" s="60" t="s">
        <v>229</v>
      </c>
      <c r="C56" s="782">
        <v>5500000</v>
      </c>
      <c r="D56" s="779">
        <f>F56-C56</f>
        <v>0</v>
      </c>
      <c r="E56" s="851">
        <v>0</v>
      </c>
      <c r="F56" s="769">
        <f>'Kiadások COFOG szerint'!F309</f>
        <v>5500000</v>
      </c>
      <c r="G56" s="133"/>
    </row>
    <row r="57" spans="1:11" ht="20.100000000000001" customHeight="1" x14ac:dyDescent="0.2">
      <c r="A57" s="59" t="s">
        <v>230</v>
      </c>
      <c r="B57" s="60" t="s">
        <v>496</v>
      </c>
      <c r="C57" s="782"/>
      <c r="D57" s="326"/>
      <c r="E57" s="851">
        <v>0</v>
      </c>
      <c r="F57" s="852"/>
      <c r="G57" s="133"/>
    </row>
    <row r="58" spans="1:11" ht="20.100000000000001" customHeight="1" x14ac:dyDescent="0.2">
      <c r="A58" s="59" t="s">
        <v>231</v>
      </c>
      <c r="B58" s="60" t="s">
        <v>232</v>
      </c>
      <c r="C58" s="782"/>
      <c r="D58" s="326">
        <f>F58-C58</f>
        <v>0</v>
      </c>
      <c r="E58" s="851">
        <v>0</v>
      </c>
      <c r="F58" s="769"/>
      <c r="G58" s="133"/>
    </row>
    <row r="59" spans="1:11" ht="18.75" customHeight="1" thickBot="1" x14ac:dyDescent="0.25">
      <c r="A59" s="63" t="s">
        <v>497</v>
      </c>
      <c r="B59" s="73" t="s">
        <v>470</v>
      </c>
      <c r="C59" s="783">
        <f>SUM('Kiadások COFOG szerint'!C307)</f>
        <v>200000</v>
      </c>
      <c r="D59" s="327">
        <f>F59-C59</f>
        <v>-200000</v>
      </c>
      <c r="E59" s="851">
        <v>0</v>
      </c>
      <c r="F59" s="853">
        <f>'Kiadások COFOG szerint'!F307</f>
        <v>0</v>
      </c>
      <c r="G59" s="133"/>
    </row>
    <row r="60" spans="1:11" ht="25.5" customHeight="1" thickBot="1" x14ac:dyDescent="0.25">
      <c r="A60" s="1069" t="s">
        <v>21</v>
      </c>
      <c r="B60" s="1069"/>
      <c r="C60" s="535">
        <f>SUM(C53:C59)</f>
        <v>11000000</v>
      </c>
      <c r="D60" s="130">
        <f>SUM(D53:D59)</f>
        <v>800000</v>
      </c>
      <c r="E60" s="823">
        <f>F60/C60*100</f>
        <v>107.27272727272728</v>
      </c>
      <c r="F60" s="128">
        <f>SUM(F53:F59)</f>
        <v>11800000</v>
      </c>
      <c r="G60" s="133"/>
    </row>
    <row r="61" spans="1:11" ht="24.95" customHeight="1" x14ac:dyDescent="0.2">
      <c r="A61" s="886" t="s">
        <v>234</v>
      </c>
      <c r="B61" s="785" t="s">
        <v>235</v>
      </c>
      <c r="C61" s="887">
        <v>0</v>
      </c>
      <c r="D61" s="797">
        <f>F61-C61</f>
        <v>0</v>
      </c>
      <c r="E61" s="883">
        <v>0</v>
      </c>
      <c r="F61" s="790">
        <f>'Kiadások COFOG szerint'!F103</f>
        <v>0</v>
      </c>
      <c r="G61" s="133"/>
    </row>
    <row r="62" spans="1:11" ht="24.95" customHeight="1" x14ac:dyDescent="0.2">
      <c r="A62" s="59" t="s">
        <v>236</v>
      </c>
      <c r="B62" s="60" t="s">
        <v>237</v>
      </c>
      <c r="C62" s="512">
        <v>0</v>
      </c>
      <c r="D62" s="57">
        <f>F62-C62</f>
        <v>0</v>
      </c>
      <c r="E62" s="884">
        <v>0</v>
      </c>
      <c r="F62" s="791"/>
      <c r="G62" s="133"/>
      <c r="K62" s="80"/>
    </row>
    <row r="63" spans="1:11" ht="24.95" customHeight="1" x14ac:dyDescent="0.2">
      <c r="A63" s="59" t="s">
        <v>233</v>
      </c>
      <c r="B63" s="60" t="s">
        <v>238</v>
      </c>
      <c r="C63" s="788">
        <f>'Kiadások COFOG szerint'!C109</f>
        <v>10000000</v>
      </c>
      <c r="D63" s="57">
        <f>F63-C63</f>
        <v>1000000</v>
      </c>
      <c r="E63" s="885">
        <f>F63/C63*100</f>
        <v>110.00000000000001</v>
      </c>
      <c r="F63" s="791">
        <f>'Kiadások COFOG szerint'!F109</f>
        <v>11000000</v>
      </c>
      <c r="G63" s="134"/>
    </row>
    <row r="64" spans="1:11" ht="24.95" customHeight="1" x14ac:dyDescent="0.2">
      <c r="A64" s="59" t="s">
        <v>239</v>
      </c>
      <c r="B64" s="60" t="s">
        <v>240</v>
      </c>
      <c r="C64" s="512">
        <v>0</v>
      </c>
      <c r="D64" s="57">
        <f>F64-C64</f>
        <v>0</v>
      </c>
      <c r="E64" s="885">
        <v>0</v>
      </c>
      <c r="F64" s="791"/>
      <c r="G64" s="134"/>
    </row>
    <row r="65" spans="1:9" ht="24.95" customHeight="1" thickBot="1" x14ac:dyDescent="0.25">
      <c r="A65" s="72" t="s">
        <v>241</v>
      </c>
      <c r="B65" s="888" t="s">
        <v>242</v>
      </c>
      <c r="C65" s="787">
        <f>'Kiadások COFOG szerint'!C242</f>
        <v>5230000</v>
      </c>
      <c r="D65" s="889">
        <f>F65-C65</f>
        <v>100000</v>
      </c>
      <c r="E65" s="828">
        <f t="shared" ref="E65:E75" si="7">F65/C65*100</f>
        <v>101.91204588910135</v>
      </c>
      <c r="F65" s="792">
        <f>'Kiadások COFOG szerint'!F242</f>
        <v>5330000</v>
      </c>
      <c r="G65" s="134"/>
    </row>
    <row r="66" spans="1:9" ht="24.95" customHeight="1" thickBot="1" x14ac:dyDescent="0.25">
      <c r="A66" s="1072" t="s">
        <v>25</v>
      </c>
      <c r="B66" s="1072"/>
      <c r="C66" s="537">
        <f>SUM(C61:C65)</f>
        <v>15230000</v>
      </c>
      <c r="D66" s="135">
        <f>SUM(D61:D65)</f>
        <v>1100000</v>
      </c>
      <c r="E66" s="824">
        <f t="shared" si="7"/>
        <v>107.22258699934339</v>
      </c>
      <c r="F66" s="136">
        <f>SUM(F61:F65)</f>
        <v>16330000</v>
      </c>
      <c r="G66" s="133"/>
    </row>
    <row r="67" spans="1:9" ht="20.100000000000001" customHeight="1" x14ac:dyDescent="0.2">
      <c r="A67" s="55" t="s">
        <v>243</v>
      </c>
      <c r="B67" s="785" t="s">
        <v>244</v>
      </c>
      <c r="C67" s="784">
        <f>'Kiadások COFOG szerint'!C49</f>
        <v>6570000</v>
      </c>
      <c r="D67" s="789">
        <f t="shared" ref="D67:D74" si="8">F67-C67</f>
        <v>-1370000</v>
      </c>
      <c r="E67" s="829">
        <f t="shared" si="7"/>
        <v>79.147640791476405</v>
      </c>
      <c r="F67" s="770">
        <f>'Kiadások COFOG szerint'!F49</f>
        <v>5200000</v>
      </c>
      <c r="G67" s="133"/>
    </row>
    <row r="68" spans="1:9" ht="20.100000000000001" customHeight="1" x14ac:dyDescent="0.2">
      <c r="A68" s="59" t="s">
        <v>245</v>
      </c>
      <c r="B68" s="60" t="s">
        <v>246</v>
      </c>
      <c r="C68" s="782">
        <f>'Kiadások COFOG szerint'!C85</f>
        <v>0</v>
      </c>
      <c r="D68" s="789">
        <f t="shared" si="8"/>
        <v>0</v>
      </c>
      <c r="E68" s="835">
        <v>0</v>
      </c>
      <c r="F68" s="769">
        <f>'Kiadások COFOG szerint'!F85</f>
        <v>0</v>
      </c>
      <c r="G68" s="133"/>
    </row>
    <row r="69" spans="1:9" ht="20.100000000000001" customHeight="1" x14ac:dyDescent="0.2">
      <c r="A69" s="59" t="s">
        <v>247</v>
      </c>
      <c r="B69" s="60" t="s">
        <v>248</v>
      </c>
      <c r="C69" s="782">
        <f>'Kiadások COFOG szerint'!C50</f>
        <v>200000</v>
      </c>
      <c r="D69" s="789">
        <f t="shared" si="8"/>
        <v>-50000</v>
      </c>
      <c r="E69" s="833">
        <f t="shared" si="7"/>
        <v>75</v>
      </c>
      <c r="F69" s="769">
        <f>'Kiadások COFOG szerint'!F50</f>
        <v>150000</v>
      </c>
      <c r="G69" s="134"/>
    </row>
    <row r="70" spans="1:9" ht="20.100000000000001" customHeight="1" x14ac:dyDescent="0.2">
      <c r="A70" s="59" t="s">
        <v>249</v>
      </c>
      <c r="B70" s="60" t="s">
        <v>250</v>
      </c>
      <c r="C70" s="782">
        <f>'Kiadások COFOG szerint'!C51+'Kiadások COFOG szerint'!C119+'Kiadások COFOG szerint'!C184+'Kiadások COFOG szerint'!C211+'Kiadások COFOG szerint'!C236</f>
        <v>320000</v>
      </c>
      <c r="D70" s="789">
        <f t="shared" si="8"/>
        <v>-80000</v>
      </c>
      <c r="E70" s="833">
        <f t="shared" si="7"/>
        <v>75</v>
      </c>
      <c r="F70" s="769">
        <f>'Kiadások COFOG szerint'!F51+'Kiadások COFOG szerint'!F119+'Kiadások COFOG szerint'!F184+'Kiadások COFOG szerint'!F211+'Kiadások COFOG szerint'!F236</f>
        <v>240000</v>
      </c>
      <c r="G70" s="134"/>
      <c r="I70" s="114"/>
    </row>
    <row r="71" spans="1:9" ht="20.100000000000001" customHeight="1" x14ac:dyDescent="0.2">
      <c r="A71" s="59" t="s">
        <v>251</v>
      </c>
      <c r="B71" s="60" t="s">
        <v>252</v>
      </c>
      <c r="C71" s="782">
        <f>'Kiadások COFOG szerint'!C52+'Kiadások COFOG szerint'!C120+'Kiadások COFOG szerint'!C185+'Kiadások COFOG szerint'!C237+'Kiadások COFOG szerint'!C212</f>
        <v>1832400</v>
      </c>
      <c r="D71" s="789">
        <f t="shared" si="8"/>
        <v>-317400</v>
      </c>
      <c r="E71" s="833">
        <f t="shared" si="7"/>
        <v>82.678454485920099</v>
      </c>
      <c r="F71" s="769">
        <f>'Kiadások COFOG szerint'!F52+'Kiadások COFOG szerint'!F120+'Kiadások COFOG szerint'!F185+'Kiadások COFOG szerint'!F237+'Kiadások COFOG szerint'!F212</f>
        <v>1515000</v>
      </c>
      <c r="G71" s="134"/>
    </row>
    <row r="72" spans="1:9" ht="20.100000000000001" customHeight="1" x14ac:dyDescent="0.2">
      <c r="A72" s="59" t="s">
        <v>253</v>
      </c>
      <c r="B72" s="60" t="s">
        <v>254</v>
      </c>
      <c r="C72" s="782">
        <f>'Kiadások COFOG szerint'!C86+'Kiadások COFOG szerint'!C139+'Kiadások COFOG szerint'!C153+'Kiadások COFOG szerint'!C186</f>
        <v>0</v>
      </c>
      <c r="D72" s="789">
        <f t="shared" si="8"/>
        <v>3165000</v>
      </c>
      <c r="E72" s="834">
        <v>0</v>
      </c>
      <c r="F72" s="769">
        <f>'Kiadások COFOG szerint'!F86+'Kiadások COFOG szerint'!F139+'Kiadások COFOG szerint'!F153+'Kiadások COFOG szerint'!F186</f>
        <v>3165000</v>
      </c>
      <c r="G72" s="134"/>
    </row>
    <row r="73" spans="1:9" ht="20.100000000000001" customHeight="1" x14ac:dyDescent="0.2">
      <c r="A73" s="59" t="s">
        <v>255</v>
      </c>
      <c r="B73" s="60" t="s">
        <v>256</v>
      </c>
      <c r="C73" s="782">
        <f>'Kiadások COFOG szerint'!C147+'Kiadások COFOG szerint'!C214</f>
        <v>6846623</v>
      </c>
      <c r="D73" s="789">
        <f t="shared" si="8"/>
        <v>-230994</v>
      </c>
      <c r="E73" s="835">
        <f t="shared" si="7"/>
        <v>96.626161539783922</v>
      </c>
      <c r="F73" s="769">
        <f>'Kiadások COFOG szerint'!F147+'Kiadások COFOG szerint'!F214</f>
        <v>6615629</v>
      </c>
      <c r="G73" s="134"/>
    </row>
    <row r="74" spans="1:9" ht="20.100000000000001" customHeight="1" thickBot="1" x14ac:dyDescent="0.25">
      <c r="A74" s="63" t="s">
        <v>257</v>
      </c>
      <c r="B74" s="73" t="s">
        <v>258</v>
      </c>
      <c r="C74" s="777">
        <f>'Kiadások COFOG szerint'!C87+'Kiadások COFOG szerint'!C148+'Kiadások COFOG szerint'!C154+'Kiadások COFOG szerint'!C187</f>
        <v>1848588</v>
      </c>
      <c r="D74" s="789">
        <f t="shared" si="8"/>
        <v>772632</v>
      </c>
      <c r="E74" s="832">
        <f t="shared" si="7"/>
        <v>141.79579224792113</v>
      </c>
      <c r="F74" s="771">
        <f>'Kiadások COFOG szerint'!F87+'Kiadások COFOG szerint'!F148+'Kiadások COFOG szerint'!F154+'Kiadások COFOG szerint'!F187+'Kiadások COFOG szerint'!F140</f>
        <v>2621220</v>
      </c>
      <c r="G74" s="134"/>
    </row>
    <row r="75" spans="1:9" ht="24.95" customHeight="1" thickBot="1" x14ac:dyDescent="0.25">
      <c r="A75" s="1069" t="s">
        <v>259</v>
      </c>
      <c r="B75" s="1069"/>
      <c r="C75" s="535">
        <f>SUM(C67:C74)</f>
        <v>17617611</v>
      </c>
      <c r="D75" s="137">
        <f>SUM(D67:D74)</f>
        <v>1889238</v>
      </c>
      <c r="E75" s="825">
        <f t="shared" si="7"/>
        <v>110.72357653940708</v>
      </c>
      <c r="F75" s="128">
        <f>SUM(F67:F74)</f>
        <v>19506849</v>
      </c>
      <c r="G75" s="134"/>
    </row>
    <row r="76" spans="1:9" ht="24.95" customHeight="1" thickBot="1" x14ac:dyDescent="0.25">
      <c r="A76" s="138" t="s">
        <v>426</v>
      </c>
      <c r="B76" s="139" t="s">
        <v>427</v>
      </c>
      <c r="C76" s="140">
        <f>'Kiadások COFOG szerint'!C188</f>
        <v>0</v>
      </c>
      <c r="D76" s="140">
        <f>'Kiadások COFOG szerint'!D188</f>
        <v>0</v>
      </c>
      <c r="E76" s="830">
        <f>'Kiadások COFOG szerint'!E188</f>
        <v>0</v>
      </c>
      <c r="F76" s="140">
        <f>'Kiadások COFOG szerint'!F188</f>
        <v>0</v>
      </c>
      <c r="G76" s="134"/>
    </row>
    <row r="77" spans="1:9" ht="24.95" customHeight="1" thickBot="1" x14ac:dyDescent="0.25">
      <c r="A77" s="141" t="s">
        <v>41</v>
      </c>
      <c r="B77" s="142" t="s">
        <v>261</v>
      </c>
      <c r="C77" s="143">
        <f>'Kiadások COFOG szerint'!C104</f>
        <v>7625248</v>
      </c>
      <c r="D77" s="143">
        <f>'Kiadások COFOG szerint'!D104</f>
        <v>114907</v>
      </c>
      <c r="E77" s="831">
        <f>F77/C77*100</f>
        <v>101.50692803696353</v>
      </c>
      <c r="F77" s="143">
        <f>'Kiadások COFOG szerint'!F104</f>
        <v>7740155</v>
      </c>
      <c r="G77" s="134"/>
    </row>
    <row r="78" spans="1:9" ht="24.95" customHeight="1" thickBot="1" x14ac:dyDescent="0.25">
      <c r="A78" s="144" t="s">
        <v>262</v>
      </c>
      <c r="B78" s="142" t="s">
        <v>263</v>
      </c>
      <c r="C78" s="140">
        <f>'Kiadások COFOG szerint'!C110</f>
        <v>162999400</v>
      </c>
      <c r="D78" s="140">
        <f>'Kiadások COFOG szerint'!D110</f>
        <v>24586484</v>
      </c>
      <c r="E78" s="831">
        <f>F78/C78*100</f>
        <v>115.08378803848358</v>
      </c>
      <c r="F78" s="140">
        <f>SUM('Kiadások COFOG szerint'!F110)</f>
        <v>187585884</v>
      </c>
      <c r="G78" s="134"/>
    </row>
    <row r="79" spans="1:9" ht="24.95" customHeight="1" thickBot="1" x14ac:dyDescent="0.25">
      <c r="A79" s="1070" t="s">
        <v>35</v>
      </c>
      <c r="B79" s="837" t="s">
        <v>264</v>
      </c>
      <c r="C79" s="838">
        <f>'Kiadások COFOG szerint'!C45</f>
        <v>4174703</v>
      </c>
      <c r="D79" s="840">
        <f>'Kiadások COFOG szerint'!D45</f>
        <v>5574604</v>
      </c>
      <c r="E79" s="841">
        <f>F79/C79*100</f>
        <v>233.53294833189329</v>
      </c>
      <c r="F79" s="145">
        <f>'Kiadások COFOG szerint'!F45</f>
        <v>9749307</v>
      </c>
      <c r="G79" s="134"/>
    </row>
    <row r="80" spans="1:9" ht="20.25" customHeight="1" thickBot="1" x14ac:dyDescent="0.25">
      <c r="A80" s="1070"/>
      <c r="B80" s="839" t="s">
        <v>265</v>
      </c>
      <c r="C80" s="836">
        <f>'Kiadások COFOG szerint'!C46</f>
        <v>73034234</v>
      </c>
      <c r="D80" s="836">
        <f>'Kiadások COFOG szerint'!D46</f>
        <v>122662615</v>
      </c>
      <c r="E80" s="842">
        <f>F80/C80*100</f>
        <v>267.95221676453809</v>
      </c>
      <c r="F80" s="147">
        <f>'Kiadások COFOG szerint'!F46</f>
        <v>195696849</v>
      </c>
      <c r="G80" s="134"/>
    </row>
    <row r="81" spans="1:7" ht="20.25" customHeight="1" thickBot="1" x14ac:dyDescent="0.25">
      <c r="A81" s="1070"/>
      <c r="B81" s="148" t="s">
        <v>38</v>
      </c>
      <c r="C81" s="538">
        <v>0</v>
      </c>
      <c r="D81" s="146"/>
      <c r="E81" s="826"/>
      <c r="F81" s="149">
        <f>'Kiadások COFOG szerint'!F47</f>
        <v>0</v>
      </c>
      <c r="G81" s="134"/>
    </row>
    <row r="82" spans="1:7" ht="22.5" customHeight="1" thickBot="1" x14ac:dyDescent="0.3">
      <c r="A82" s="1071" t="s">
        <v>266</v>
      </c>
      <c r="B82" s="1071"/>
      <c r="C82" s="150">
        <f>C20+C22+C52+C60+C66+C75+C76+C77+C78+C79+C80+C81</f>
        <v>404275656</v>
      </c>
      <c r="D82" s="150">
        <f>D20+D22+D52+D60+D66+D75+D76+D77+D78+D79+D80+D81</f>
        <v>167425008</v>
      </c>
      <c r="E82" s="827">
        <f>F82/C82*100</f>
        <v>141.41357648307172</v>
      </c>
      <c r="F82" s="150">
        <f>F20+F22+F52+F60+F66+F75+F76+F77+F78+F79+F80+F81</f>
        <v>571700664</v>
      </c>
      <c r="G82" s="134"/>
    </row>
    <row r="85" spans="1:7" x14ac:dyDescent="0.2">
      <c r="B85" s="123" t="s">
        <v>381</v>
      </c>
      <c r="C85" s="300">
        <f>C82-'Kiadások COFOG szerint'!C314</f>
        <v>0</v>
      </c>
      <c r="D85" s="300">
        <f>D82-'Kiadások COFOG szerint'!D314</f>
        <v>0</v>
      </c>
      <c r="E85" s="300"/>
      <c r="F85" s="300">
        <f>F82-'Kiadások COFOG szerint'!F314</f>
        <v>0</v>
      </c>
    </row>
  </sheetData>
  <sheetProtection algorithmName="SHA-512" hashValue="TRX4FyQVLrVT3llWHye2ROwPToVRabI/kMLvrF2gs0AcFW9AelRYGGGujJ0aO7OWJSDptm04mg7AyP9U4OSjTw==" saltValue="WUPik+zuW6oXfV97F+sC8w==" spinCount="100000" sheet="1" objects="1" scenarios="1"/>
  <mergeCells count="15">
    <mergeCell ref="A75:B75"/>
    <mergeCell ref="A79:A81"/>
    <mergeCell ref="A82:B82"/>
    <mergeCell ref="A20:B20"/>
    <mergeCell ref="A22:B22"/>
    <mergeCell ref="A52:B52"/>
    <mergeCell ref="A60:B60"/>
    <mergeCell ref="A66:B66"/>
    <mergeCell ref="A2:F2"/>
    <mergeCell ref="A3:F3"/>
    <mergeCell ref="A5:F5"/>
    <mergeCell ref="A6:A7"/>
    <mergeCell ref="B6:B7"/>
    <mergeCell ref="F6:F7"/>
    <mergeCell ref="C6:E6"/>
  </mergeCells>
  <pageMargins left="0.98425196850393704" right="0.59055118110236227" top="0.59055118110236227" bottom="0.59055118110236227" header="0.51181102362204722" footer="0.51181102362204722"/>
  <pageSetup paperSize="9" scale="77" firstPageNumber="0" fitToHeight="0" orientation="portrait" verticalDpi="300" r:id="rId1"/>
  <headerFooter>
    <oddHeader>&amp;R2022.01.hó</oddHeader>
  </headerFooter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46"/>
  <sheetViews>
    <sheetView topLeftCell="A52" zoomScaleNormal="100" workbookViewId="0">
      <selection activeCell="F18" sqref="F18"/>
    </sheetView>
  </sheetViews>
  <sheetFormatPr defaultRowHeight="12.75" x14ac:dyDescent="0.2"/>
  <cols>
    <col min="1" max="1" width="12.28515625" customWidth="1"/>
    <col min="2" max="2" width="35.5703125" customWidth="1"/>
    <col min="3" max="3" width="14.140625" customWidth="1"/>
    <col min="4" max="4" width="15.42578125" customWidth="1"/>
    <col min="5" max="5" width="12.5703125" customWidth="1"/>
    <col min="6" max="6" width="16" style="82" customWidth="1"/>
    <col min="7" max="7" width="12.42578125" customWidth="1"/>
    <col min="8" max="8" width="10.7109375" style="80" customWidth="1"/>
    <col min="9" max="9" width="3.42578125" customWidth="1"/>
    <col min="10" max="10" width="8.42578125" customWidth="1"/>
    <col min="11" max="11" width="11.85546875" customWidth="1"/>
    <col min="12" max="12" width="12.5703125" customWidth="1"/>
    <col min="13" max="13" width="8.42578125" customWidth="1"/>
    <col min="14" max="14" width="10.5703125" customWidth="1"/>
    <col min="15" max="15" width="12.42578125" customWidth="1"/>
    <col min="16" max="1024" width="8.42578125" customWidth="1"/>
  </cols>
  <sheetData>
    <row r="1" spans="1:11" x14ac:dyDescent="0.2">
      <c r="E1" s="1076" t="s">
        <v>267</v>
      </c>
      <c r="F1" s="1077"/>
    </row>
    <row r="2" spans="1:11" ht="15.75" x14ac:dyDescent="0.25">
      <c r="A2" s="1033" t="s">
        <v>646</v>
      </c>
      <c r="B2" s="1033"/>
      <c r="C2" s="1033"/>
      <c r="D2" s="1033"/>
      <c r="E2" s="1033"/>
      <c r="F2" s="1033"/>
    </row>
    <row r="3" spans="1:11" ht="15.75" x14ac:dyDescent="0.25">
      <c r="A3" s="1033" t="s">
        <v>393</v>
      </c>
      <c r="B3" s="1033"/>
      <c r="C3" s="1033"/>
      <c r="D3" s="1033"/>
      <c r="E3" s="1033"/>
      <c r="F3" s="1033"/>
    </row>
    <row r="4" spans="1:11" ht="21.75" customHeight="1" x14ac:dyDescent="0.2">
      <c r="F4" s="321"/>
    </row>
    <row r="5" spans="1:11" ht="18" customHeight="1" x14ac:dyDescent="0.2">
      <c r="A5" s="1073" t="s">
        <v>268</v>
      </c>
      <c r="B5" s="1073"/>
      <c r="C5" s="1073"/>
      <c r="D5" s="1073"/>
      <c r="E5" s="1073"/>
      <c r="F5" s="1073"/>
      <c r="H5" s="122"/>
    </row>
    <row r="6" spans="1:11" s="39" customFormat="1" ht="18" customHeight="1" thickBot="1" x14ac:dyDescent="0.25">
      <c r="A6" s="84"/>
      <c r="B6" s="84"/>
      <c r="C6" s="84"/>
      <c r="D6" s="84"/>
      <c r="E6" s="84"/>
      <c r="F6" s="84"/>
      <c r="H6" s="151"/>
    </row>
    <row r="7" spans="1:11" ht="23.25" customHeight="1" thickBot="1" x14ac:dyDescent="0.25">
      <c r="A7" s="1043" t="s">
        <v>115</v>
      </c>
      <c r="B7" s="1043"/>
      <c r="C7" s="1043"/>
      <c r="D7" s="1043"/>
      <c r="E7" s="1043"/>
      <c r="F7" s="1043"/>
    </row>
    <row r="8" spans="1:11" ht="17.25" customHeight="1" thickBot="1" x14ac:dyDescent="0.25">
      <c r="A8" s="1074" t="s">
        <v>46</v>
      </c>
      <c r="B8" s="1075" t="s">
        <v>47</v>
      </c>
      <c r="C8" s="1079">
        <v>2021</v>
      </c>
      <c r="D8" s="1080"/>
      <c r="E8" s="1080"/>
      <c r="F8" s="573">
        <v>2022</v>
      </c>
    </row>
    <row r="9" spans="1:11" ht="24.75" customHeight="1" thickBot="1" x14ac:dyDescent="0.25">
      <c r="A9" s="1074"/>
      <c r="B9" s="1075"/>
      <c r="C9" s="152" t="s">
        <v>48</v>
      </c>
      <c r="D9" s="152" t="s">
        <v>519</v>
      </c>
      <c r="E9" s="152" t="s">
        <v>387</v>
      </c>
      <c r="F9" s="572" t="s">
        <v>520</v>
      </c>
    </row>
    <row r="10" spans="1:11" ht="15" customHeight="1" x14ac:dyDescent="0.2">
      <c r="A10" s="153" t="s">
        <v>142</v>
      </c>
      <c r="B10" s="338" t="s">
        <v>269</v>
      </c>
      <c r="C10" s="505">
        <v>210600</v>
      </c>
      <c r="D10" s="487">
        <f>F10-C10</f>
        <v>-210600</v>
      </c>
      <c r="E10" s="339">
        <f>F10/C10*100</f>
        <v>0</v>
      </c>
      <c r="F10" s="156">
        <f>'Kiadások részletes COFOG'!F14</f>
        <v>0</v>
      </c>
    </row>
    <row r="11" spans="1:11" ht="15" customHeight="1" x14ac:dyDescent="0.2">
      <c r="A11" s="492" t="s">
        <v>291</v>
      </c>
      <c r="B11" s="338" t="s">
        <v>292</v>
      </c>
      <c r="C11" s="505">
        <v>0</v>
      </c>
      <c r="D11" s="636">
        <f>F11-C11</f>
        <v>0</v>
      </c>
      <c r="E11" s="339"/>
      <c r="F11" s="156">
        <v>0</v>
      </c>
    </row>
    <row r="12" spans="1:11" ht="15" customHeight="1" x14ac:dyDescent="0.2">
      <c r="A12" s="652" t="s">
        <v>430</v>
      </c>
      <c r="B12" s="338" t="s">
        <v>492</v>
      </c>
      <c r="C12" s="645">
        <v>0</v>
      </c>
      <c r="D12" s="645"/>
      <c r="E12" s="339"/>
      <c r="F12" s="156"/>
    </row>
    <row r="13" spans="1:11" ht="15" customHeight="1" x14ac:dyDescent="0.2">
      <c r="A13" s="485" t="s">
        <v>146</v>
      </c>
      <c r="B13" s="491" t="s">
        <v>147</v>
      </c>
      <c r="C13" s="504">
        <v>0</v>
      </c>
      <c r="D13" s="636">
        <f>F13-C13</f>
        <v>0</v>
      </c>
      <c r="E13" s="339"/>
      <c r="F13" s="110">
        <f>'Kiadások részletes COFOG'!F15</f>
        <v>0</v>
      </c>
      <c r="K13" s="158"/>
    </row>
    <row r="14" spans="1:11" ht="15" customHeight="1" x14ac:dyDescent="0.2">
      <c r="A14" s="485" t="s">
        <v>394</v>
      </c>
      <c r="B14" s="491" t="s">
        <v>395</v>
      </c>
      <c r="C14" s="504">
        <v>0</v>
      </c>
      <c r="D14" s="636">
        <f>F14-C14</f>
        <v>0</v>
      </c>
      <c r="E14" s="339"/>
      <c r="F14" s="110">
        <f>'Kiadások részletes COFOG'!F15</f>
        <v>0</v>
      </c>
      <c r="K14" s="158"/>
    </row>
    <row r="15" spans="1:11" ht="15" customHeight="1" x14ac:dyDescent="0.2">
      <c r="A15" s="484" t="s">
        <v>152</v>
      </c>
      <c r="B15" s="491" t="s">
        <v>153</v>
      </c>
      <c r="C15" s="504">
        <v>15250000</v>
      </c>
      <c r="D15" s="636">
        <f>F15-C15</f>
        <v>5650000</v>
      </c>
      <c r="E15" s="339">
        <f>F15/C15*100</f>
        <v>137.04918032786887</v>
      </c>
      <c r="F15" s="110">
        <f>'Kiadások részletes COFOG'!F30</f>
        <v>20900000</v>
      </c>
      <c r="G15" s="159"/>
    </row>
    <row r="16" spans="1:11" ht="22.5" customHeight="1" x14ac:dyDescent="0.2">
      <c r="A16" s="484" t="s">
        <v>154</v>
      </c>
      <c r="B16" s="491" t="s">
        <v>155</v>
      </c>
      <c r="C16" s="504">
        <v>1480840</v>
      </c>
      <c r="D16" s="636">
        <f>F16-C16</f>
        <v>350980</v>
      </c>
      <c r="E16" s="339">
        <f>F16/C16*100</f>
        <v>123.70141271170417</v>
      </c>
      <c r="F16" s="110">
        <f>'Kiadások részletes COFOG'!F38</f>
        <v>1831820</v>
      </c>
    </row>
    <row r="17" spans="1:6" ht="15" customHeight="1" x14ac:dyDescent="0.2">
      <c r="A17" s="489" t="s">
        <v>404</v>
      </c>
      <c r="B17" s="491" t="s">
        <v>403</v>
      </c>
      <c r="C17" s="504">
        <v>150000</v>
      </c>
      <c r="D17" s="636">
        <f>F17-C17</f>
        <v>0</v>
      </c>
      <c r="E17" s="339">
        <f>F17/C17*100</f>
        <v>100</v>
      </c>
      <c r="F17" s="110">
        <f>'Kiadások részletes COFOG'!F39</f>
        <v>150000</v>
      </c>
    </row>
    <row r="18" spans="1:6" x14ac:dyDescent="0.2">
      <c r="A18" s="1081"/>
      <c r="B18" s="1082"/>
      <c r="C18" s="639">
        <f>SUM(C10:C17)</f>
        <v>17091440</v>
      </c>
      <c r="D18" s="639">
        <f t="shared" ref="D18" si="0">SUM(D10:D17)</f>
        <v>5790380</v>
      </c>
      <c r="E18" s="640">
        <f>F18/C18*100</f>
        <v>133.87883057249712</v>
      </c>
      <c r="F18" s="641">
        <f>SUM(F10:F17)</f>
        <v>22881820</v>
      </c>
    </row>
    <row r="19" spans="1:6" ht="15" customHeight="1" x14ac:dyDescent="0.2">
      <c r="A19" s="484" t="s">
        <v>158</v>
      </c>
      <c r="B19" s="491" t="s">
        <v>159</v>
      </c>
      <c r="C19" s="504">
        <v>2720000</v>
      </c>
      <c r="D19" s="636">
        <f>F19-C19</f>
        <v>380000</v>
      </c>
      <c r="E19" s="339">
        <f>F19/C19*100</f>
        <v>113.97058823529412</v>
      </c>
      <c r="F19" s="110">
        <f>SUM('Kiadások részletes COFOG'!F43)</f>
        <v>3100000</v>
      </c>
    </row>
    <row r="20" spans="1:6" x14ac:dyDescent="0.2">
      <c r="A20" s="1081"/>
      <c r="B20" s="1082"/>
      <c r="C20" s="639">
        <f>SUM(C19:C19)</f>
        <v>2720000</v>
      </c>
      <c r="D20" s="639">
        <f>SUM(D19:D19)</f>
        <v>380000</v>
      </c>
      <c r="E20" s="640">
        <f t="shared" ref="E20:E25" si="1">F20/C20*100</f>
        <v>113.97058823529412</v>
      </c>
      <c r="F20" s="641">
        <f>SUM(F19:F19)</f>
        <v>3100000</v>
      </c>
    </row>
    <row r="21" spans="1:6" ht="15" customHeight="1" x14ac:dyDescent="0.2">
      <c r="A21" s="484" t="s">
        <v>162</v>
      </c>
      <c r="B21" s="491" t="s">
        <v>396</v>
      </c>
      <c r="C21" s="504">
        <v>110000</v>
      </c>
      <c r="D21" s="636">
        <f t="shared" ref="D21:D25" si="2">F21-C21</f>
        <v>0</v>
      </c>
      <c r="E21" s="339">
        <f t="shared" si="1"/>
        <v>100</v>
      </c>
      <c r="F21" s="110">
        <f>'Kiadások részletes COFOG'!F47</f>
        <v>110000</v>
      </c>
    </row>
    <row r="22" spans="1:6" ht="15" customHeight="1" x14ac:dyDescent="0.2">
      <c r="A22" s="484" t="s">
        <v>170</v>
      </c>
      <c r="B22" s="491" t="s">
        <v>171</v>
      </c>
      <c r="C22" s="504">
        <v>1400000</v>
      </c>
      <c r="D22" s="636">
        <f t="shared" si="2"/>
        <v>400000</v>
      </c>
      <c r="E22" s="339">
        <f t="shared" si="1"/>
        <v>128.57142857142858</v>
      </c>
      <c r="F22" s="110">
        <f>'Kiadások részletes COFOG'!F52</f>
        <v>1800000</v>
      </c>
    </row>
    <row r="23" spans="1:6" ht="15" customHeight="1" x14ac:dyDescent="0.2">
      <c r="A23" s="484" t="s">
        <v>184</v>
      </c>
      <c r="B23" s="491" t="s">
        <v>397</v>
      </c>
      <c r="C23" s="504">
        <v>1072800</v>
      </c>
      <c r="D23" s="636">
        <f t="shared" si="2"/>
        <v>324000</v>
      </c>
      <c r="E23" s="339">
        <f t="shared" si="1"/>
        <v>130.20134228187919</v>
      </c>
      <c r="F23" s="110">
        <f>'Kiadások részletes COFOG'!F56</f>
        <v>1396800</v>
      </c>
    </row>
    <row r="24" spans="1:6" ht="15" customHeight="1" x14ac:dyDescent="0.2">
      <c r="A24" s="484" t="s">
        <v>185</v>
      </c>
      <c r="B24" s="491" t="s">
        <v>186</v>
      </c>
      <c r="C24" s="504">
        <v>300000</v>
      </c>
      <c r="D24" s="636">
        <f t="shared" si="2"/>
        <v>0</v>
      </c>
      <c r="E24" s="339">
        <f t="shared" si="1"/>
        <v>100</v>
      </c>
      <c r="F24" s="110">
        <f>'Kiadások részletes COFOG'!F58</f>
        <v>300000</v>
      </c>
    </row>
    <row r="25" spans="1:6" ht="15" customHeight="1" x14ac:dyDescent="0.2">
      <c r="A25" s="637" t="s">
        <v>187</v>
      </c>
      <c r="B25" s="638" t="s">
        <v>290</v>
      </c>
      <c r="C25" s="635">
        <v>1750000</v>
      </c>
      <c r="D25" s="636">
        <f t="shared" si="2"/>
        <v>750000</v>
      </c>
      <c r="E25" s="339">
        <f t="shared" si="1"/>
        <v>142.85714285714286</v>
      </c>
      <c r="F25" s="110">
        <f>SUM(F26:F28)</f>
        <v>2500000</v>
      </c>
    </row>
    <row r="26" spans="1:6" ht="15" customHeight="1" x14ac:dyDescent="0.2">
      <c r="A26" s="484" t="s">
        <v>189</v>
      </c>
      <c r="B26" s="491" t="s">
        <v>270</v>
      </c>
      <c r="C26" s="504"/>
      <c r="D26" s="636"/>
      <c r="E26" s="339">
        <v>0</v>
      </c>
      <c r="F26" s="110">
        <f>'Kiadások részletes COFOG'!F59</f>
        <v>600000</v>
      </c>
    </row>
    <row r="27" spans="1:6" ht="15" customHeight="1" x14ac:dyDescent="0.2">
      <c r="A27" s="484" t="s">
        <v>191</v>
      </c>
      <c r="B27" s="491" t="s">
        <v>271</v>
      </c>
      <c r="C27" s="504"/>
      <c r="D27" s="636"/>
      <c r="E27" s="339">
        <v>0</v>
      </c>
      <c r="F27" s="110">
        <f>'Kiadások részletes COFOG'!F60</f>
        <v>1700000</v>
      </c>
    </row>
    <row r="28" spans="1:6" ht="15" customHeight="1" x14ac:dyDescent="0.2">
      <c r="A28" s="489" t="s">
        <v>187</v>
      </c>
      <c r="B28" s="491" t="s">
        <v>398</v>
      </c>
      <c r="C28" s="504"/>
      <c r="D28" s="636"/>
      <c r="E28" s="339">
        <v>0</v>
      </c>
      <c r="F28" s="110">
        <f>'Kiadások részletes COFOG'!F61</f>
        <v>200000</v>
      </c>
    </row>
    <row r="29" spans="1:6" x14ac:dyDescent="0.2">
      <c r="A29" s="484" t="s">
        <v>197</v>
      </c>
      <c r="B29" s="491" t="s">
        <v>198</v>
      </c>
      <c r="C29" s="504">
        <v>150000</v>
      </c>
      <c r="D29" s="636">
        <f t="shared" ref="D29:D36" si="3">F29-C29</f>
        <v>0</v>
      </c>
      <c r="E29" s="339">
        <f t="shared" ref="E29:E38" si="4">F29/C29*100</f>
        <v>100</v>
      </c>
      <c r="F29" s="110">
        <f>'Kiadások részletes COFOG'!F66</f>
        <v>150000</v>
      </c>
    </row>
    <row r="30" spans="1:6" ht="15" customHeight="1" x14ac:dyDescent="0.2">
      <c r="A30" s="484" t="s">
        <v>199</v>
      </c>
      <c r="B30" s="491" t="s">
        <v>200</v>
      </c>
      <c r="C30" s="504">
        <v>670000</v>
      </c>
      <c r="D30" s="636">
        <f t="shared" si="3"/>
        <v>-10000</v>
      </c>
      <c r="E30" s="339">
        <f t="shared" si="4"/>
        <v>98.507462686567166</v>
      </c>
      <c r="F30" s="110">
        <f>'Kiadások részletes COFOG'!F70</f>
        <v>660000</v>
      </c>
    </row>
    <row r="31" spans="1:6" ht="15" customHeight="1" x14ac:dyDescent="0.2">
      <c r="A31" s="489" t="s">
        <v>399</v>
      </c>
      <c r="B31" s="491" t="s">
        <v>400</v>
      </c>
      <c r="C31" s="504">
        <v>2265000</v>
      </c>
      <c r="D31" s="636">
        <f t="shared" si="3"/>
        <v>2925000</v>
      </c>
      <c r="E31" s="339">
        <f t="shared" si="4"/>
        <v>229.13907284768214</v>
      </c>
      <c r="F31" s="110">
        <f>'Kiadások részletes COFOG'!F83</f>
        <v>5190000</v>
      </c>
    </row>
    <row r="32" spans="1:6" ht="15" customHeight="1" x14ac:dyDescent="0.2">
      <c r="A32" s="484" t="s">
        <v>201</v>
      </c>
      <c r="B32" s="491" t="s">
        <v>202</v>
      </c>
      <c r="C32" s="504">
        <v>1500000</v>
      </c>
      <c r="D32" s="636">
        <f t="shared" si="3"/>
        <v>1156000</v>
      </c>
      <c r="E32" s="339">
        <f t="shared" si="4"/>
        <v>177.06666666666666</v>
      </c>
      <c r="F32" s="110">
        <f>'Kiadások részletes COFOG'!F87</f>
        <v>2656000</v>
      </c>
    </row>
    <row r="33" spans="1:12" ht="15" customHeight="1" x14ac:dyDescent="0.2">
      <c r="A33" s="484" t="s">
        <v>205</v>
      </c>
      <c r="B33" s="491" t="s">
        <v>206</v>
      </c>
      <c r="C33" s="504">
        <v>5020000</v>
      </c>
      <c r="D33" s="636">
        <f t="shared" si="3"/>
        <v>0</v>
      </c>
      <c r="E33" s="339">
        <f t="shared" si="4"/>
        <v>100</v>
      </c>
      <c r="F33" s="110">
        <f>'Kiadások részletes COFOG'!F97</f>
        <v>5020000</v>
      </c>
    </row>
    <row r="34" spans="1:12" ht="15" customHeight="1" x14ac:dyDescent="0.2">
      <c r="A34" s="489" t="s">
        <v>272</v>
      </c>
      <c r="B34" s="491" t="s">
        <v>401</v>
      </c>
      <c r="C34" s="504">
        <v>100000</v>
      </c>
      <c r="D34" s="636">
        <f t="shared" si="3"/>
        <v>0</v>
      </c>
      <c r="E34" s="339">
        <f t="shared" si="4"/>
        <v>100</v>
      </c>
      <c r="F34" s="110">
        <f>SUM('Kiadások részletes COFOG'!F98)</f>
        <v>100000</v>
      </c>
    </row>
    <row r="35" spans="1:12" ht="21.75" customHeight="1" x14ac:dyDescent="0.2">
      <c r="A35" s="484" t="s">
        <v>213</v>
      </c>
      <c r="B35" s="491" t="s">
        <v>273</v>
      </c>
      <c r="C35" s="504">
        <v>2200000</v>
      </c>
      <c r="D35" s="636">
        <f t="shared" si="3"/>
        <v>300000</v>
      </c>
      <c r="E35" s="339">
        <f t="shared" si="4"/>
        <v>113.63636363636364</v>
      </c>
      <c r="F35" s="110">
        <f>'Kiadások részletes COFOG'!F99</f>
        <v>2500000</v>
      </c>
      <c r="L35" s="80"/>
    </row>
    <row r="36" spans="1:12" ht="15" customHeight="1" x14ac:dyDescent="0.2">
      <c r="A36" s="484" t="s">
        <v>215</v>
      </c>
      <c r="B36" s="491" t="s">
        <v>216</v>
      </c>
      <c r="C36" s="504">
        <v>2500000</v>
      </c>
      <c r="D36" s="933">
        <f t="shared" si="3"/>
        <v>0</v>
      </c>
      <c r="E36" s="339">
        <f t="shared" si="4"/>
        <v>100</v>
      </c>
      <c r="F36" s="110">
        <f>SUM('Kiadások részletes COFOG'!F100)</f>
        <v>2500000</v>
      </c>
      <c r="L36" s="80"/>
    </row>
    <row r="37" spans="1:12" ht="15" customHeight="1" x14ac:dyDescent="0.2">
      <c r="A37" s="484" t="s">
        <v>217</v>
      </c>
      <c r="B37" s="491" t="s">
        <v>218</v>
      </c>
      <c r="C37" s="504">
        <v>10000</v>
      </c>
      <c r="D37" s="636">
        <f>F37-C37</f>
        <v>0</v>
      </c>
      <c r="E37" s="339">
        <f t="shared" si="4"/>
        <v>100</v>
      </c>
      <c r="F37" s="110">
        <f>'Kiadások részletes COFOG'!F101</f>
        <v>10000</v>
      </c>
    </row>
    <row r="38" spans="1:12" ht="15" customHeight="1" x14ac:dyDescent="0.2">
      <c r="A38" s="484" t="s">
        <v>219</v>
      </c>
      <c r="B38" s="491" t="s">
        <v>220</v>
      </c>
      <c r="C38" s="504">
        <v>300000</v>
      </c>
      <c r="D38" s="636">
        <f>F38-C38</f>
        <v>-80000</v>
      </c>
      <c r="E38" s="339">
        <f t="shared" si="4"/>
        <v>73.333333333333329</v>
      </c>
      <c r="F38" s="110">
        <f>'Kiadások részletes COFOG'!F105</f>
        <v>220000</v>
      </c>
    </row>
    <row r="39" spans="1:12" ht="18" customHeight="1" x14ac:dyDescent="0.2">
      <c r="A39" s="484" t="s">
        <v>221</v>
      </c>
      <c r="B39" s="491" t="s">
        <v>222</v>
      </c>
      <c r="C39" s="504">
        <v>0</v>
      </c>
      <c r="D39" s="636">
        <f>F39-C39</f>
        <v>0</v>
      </c>
      <c r="E39" s="339"/>
      <c r="F39" s="110">
        <f>'Kiadások részletes COFOG'!F106</f>
        <v>0</v>
      </c>
    </row>
    <row r="40" spans="1:12" x14ac:dyDescent="0.2">
      <c r="A40" s="1081"/>
      <c r="B40" s="1082"/>
      <c r="C40" s="639">
        <f>SUM(C21:C25,C29:C39)</f>
        <v>19347800</v>
      </c>
      <c r="D40" s="639">
        <f t="shared" ref="D40" si="5">SUM(D21:D25,D29:D39)</f>
        <v>5765000</v>
      </c>
      <c r="E40" s="640">
        <f>F40/C40*100</f>
        <v>129.7966693887677</v>
      </c>
      <c r="F40" s="641">
        <f>SUM(F21:F25,F29:F39)</f>
        <v>25112800</v>
      </c>
    </row>
    <row r="41" spans="1:12" ht="24" customHeight="1" x14ac:dyDescent="0.2">
      <c r="A41" s="484" t="s">
        <v>234</v>
      </c>
      <c r="B41" s="491" t="s">
        <v>235</v>
      </c>
      <c r="C41" s="504">
        <v>0</v>
      </c>
      <c r="D41" s="636">
        <f t="shared" ref="D41:D47" si="6">F41-C41</f>
        <v>0</v>
      </c>
      <c r="E41" s="339"/>
      <c r="F41" s="110">
        <v>0</v>
      </c>
    </row>
    <row r="42" spans="1:12" ht="31.5" customHeight="1" x14ac:dyDescent="0.2">
      <c r="A42" s="484" t="s">
        <v>236</v>
      </c>
      <c r="B42" s="491" t="s">
        <v>237</v>
      </c>
      <c r="C42" s="504">
        <v>0</v>
      </c>
      <c r="D42" s="636">
        <f t="shared" si="6"/>
        <v>0</v>
      </c>
      <c r="E42" s="339"/>
      <c r="F42" s="110"/>
    </row>
    <row r="43" spans="1:12" ht="31.5" customHeight="1" x14ac:dyDescent="0.2">
      <c r="A43" s="637" t="s">
        <v>561</v>
      </c>
      <c r="B43" s="638" t="s">
        <v>562</v>
      </c>
      <c r="C43" s="635">
        <v>0</v>
      </c>
      <c r="D43" s="636">
        <f t="shared" si="6"/>
        <v>0</v>
      </c>
      <c r="E43" s="339"/>
      <c r="F43" s="110"/>
    </row>
    <row r="44" spans="1:12" ht="31.5" x14ac:dyDescent="0.2">
      <c r="A44" s="489" t="s">
        <v>241</v>
      </c>
      <c r="B44" s="491" t="s">
        <v>275</v>
      </c>
      <c r="C44" s="504">
        <v>0</v>
      </c>
      <c r="D44" s="636">
        <f t="shared" si="6"/>
        <v>0</v>
      </c>
      <c r="E44" s="339"/>
      <c r="F44" s="110"/>
    </row>
    <row r="45" spans="1:12" ht="15" customHeight="1" x14ac:dyDescent="0.2">
      <c r="A45" s="1078" t="s">
        <v>35</v>
      </c>
      <c r="B45" s="491" t="s">
        <v>276</v>
      </c>
      <c r="C45" s="504">
        <v>4174703</v>
      </c>
      <c r="D45" s="636">
        <f t="shared" si="6"/>
        <v>5574604</v>
      </c>
      <c r="E45" s="339">
        <f>F45/C45*100</f>
        <v>233.53294833189329</v>
      </c>
      <c r="F45" s="110">
        <f>'Kiadások részletes COFOG'!F112</f>
        <v>9749307</v>
      </c>
    </row>
    <row r="46" spans="1:12" ht="15" customHeight="1" x14ac:dyDescent="0.2">
      <c r="A46" s="1078"/>
      <c r="B46" s="491" t="s">
        <v>277</v>
      </c>
      <c r="C46" s="504">
        <v>73034234</v>
      </c>
      <c r="D46" s="767">
        <f t="shared" si="6"/>
        <v>122662615</v>
      </c>
      <c r="E46" s="339">
        <f>F46/C46*100</f>
        <v>267.95221676453809</v>
      </c>
      <c r="F46" s="110">
        <f>SUM('Kiadások részletes COFOG'!F114:F124)</f>
        <v>195696849</v>
      </c>
    </row>
    <row r="47" spans="1:12" ht="15" customHeight="1" x14ac:dyDescent="0.2">
      <c r="A47" s="1078"/>
      <c r="B47" s="491" t="s">
        <v>38</v>
      </c>
      <c r="C47" s="504">
        <v>0</v>
      </c>
      <c r="D47" s="767">
        <f t="shared" si="6"/>
        <v>0</v>
      </c>
      <c r="E47" s="339"/>
      <c r="F47" s="110">
        <f>'Kiadások részletes COFOG'!F124</f>
        <v>0</v>
      </c>
      <c r="G47" s="160"/>
    </row>
    <row r="48" spans="1:12" x14ac:dyDescent="0.2">
      <c r="A48" s="1081"/>
      <c r="B48" s="1082"/>
      <c r="C48" s="639">
        <f>SUM(C41:C47)</f>
        <v>77208937</v>
      </c>
      <c r="D48" s="639">
        <f t="shared" ref="D48" si="7">SUM(D41:D47)</f>
        <v>128237219</v>
      </c>
      <c r="E48" s="640">
        <f t="shared" ref="E48:E53" si="8">F48/C48*100</f>
        <v>266.09115988735863</v>
      </c>
      <c r="F48" s="641">
        <f>SUM(F41:F47)</f>
        <v>205446156</v>
      </c>
      <c r="G48" s="160"/>
    </row>
    <row r="49" spans="1:9" ht="15" customHeight="1" x14ac:dyDescent="0.2">
      <c r="A49" s="484" t="s">
        <v>243</v>
      </c>
      <c r="B49" s="491" t="s">
        <v>244</v>
      </c>
      <c r="C49" s="504">
        <v>6570000</v>
      </c>
      <c r="D49" s="636">
        <f>F49-C49</f>
        <v>-1370000</v>
      </c>
      <c r="E49" s="339">
        <f t="shared" si="8"/>
        <v>79.147640791476405</v>
      </c>
      <c r="F49" s="110">
        <f>'Kiadások részletes COFOG'!F126</f>
        <v>5200000</v>
      </c>
      <c r="H49" s="161"/>
    </row>
    <row r="50" spans="1:9" ht="16.5" customHeight="1" x14ac:dyDescent="0.2">
      <c r="A50" s="484" t="s">
        <v>247</v>
      </c>
      <c r="B50" s="491" t="s">
        <v>248</v>
      </c>
      <c r="C50" s="504">
        <v>200000</v>
      </c>
      <c r="D50" s="636">
        <f>F50-C50</f>
        <v>-50000</v>
      </c>
      <c r="E50" s="339">
        <f t="shared" si="8"/>
        <v>75</v>
      </c>
      <c r="F50" s="110">
        <f>'Kiadások részletes COFOG'!F127</f>
        <v>150000</v>
      </c>
    </row>
    <row r="51" spans="1:9" ht="15.75" customHeight="1" x14ac:dyDescent="0.2">
      <c r="A51" s="484" t="s">
        <v>249</v>
      </c>
      <c r="B51" s="491" t="s">
        <v>250</v>
      </c>
      <c r="C51" s="504">
        <v>200000</v>
      </c>
      <c r="D51" s="636">
        <f>F51-C51</f>
        <v>-200000</v>
      </c>
      <c r="E51" s="339">
        <f t="shared" si="8"/>
        <v>0</v>
      </c>
      <c r="F51" s="110">
        <f>'Kiadások részletes COFOG'!F128</f>
        <v>0</v>
      </c>
    </row>
    <row r="52" spans="1:9" ht="21" x14ac:dyDescent="0.2">
      <c r="A52" s="484" t="s">
        <v>251</v>
      </c>
      <c r="B52" s="491" t="s">
        <v>278</v>
      </c>
      <c r="C52" s="504">
        <v>1800000</v>
      </c>
      <c r="D52" s="636">
        <f>F52-C52</f>
        <v>-350000</v>
      </c>
      <c r="E52" s="339">
        <f t="shared" si="8"/>
        <v>80.555555555555557</v>
      </c>
      <c r="F52" s="110">
        <f>'Kiadások részletes COFOG'!F129</f>
        <v>1450000</v>
      </c>
    </row>
    <row r="53" spans="1:9" x14ac:dyDescent="0.2">
      <c r="A53" s="1081"/>
      <c r="B53" s="1082"/>
      <c r="C53" s="639">
        <f>SUM(C49:C52)</f>
        <v>8770000</v>
      </c>
      <c r="D53" s="639">
        <f t="shared" ref="D53" si="9">SUM(D49:D52)</f>
        <v>-1970000</v>
      </c>
      <c r="E53" s="640">
        <f t="shared" si="8"/>
        <v>77.53705815279362</v>
      </c>
      <c r="F53" s="641">
        <f>SUM(F49:F52)</f>
        <v>6800000</v>
      </c>
    </row>
    <row r="54" spans="1:9" ht="15" customHeight="1" x14ac:dyDescent="0.2">
      <c r="A54" s="484" t="s">
        <v>253</v>
      </c>
      <c r="B54" s="491" t="s">
        <v>254</v>
      </c>
      <c r="C54" s="504">
        <v>0</v>
      </c>
      <c r="D54" s="636">
        <f>F54-C54</f>
        <v>0</v>
      </c>
      <c r="E54" s="339"/>
      <c r="F54" s="110">
        <f>'Kiadások részletes COFOG'!F132</f>
        <v>0</v>
      </c>
    </row>
    <row r="55" spans="1:9" ht="21" x14ac:dyDescent="0.2">
      <c r="A55" s="94" t="s">
        <v>257</v>
      </c>
      <c r="B55" s="162" t="s">
        <v>279</v>
      </c>
      <c r="C55" s="539">
        <v>0</v>
      </c>
      <c r="D55" s="636">
        <f>F55-C55</f>
        <v>0</v>
      </c>
      <c r="E55" s="339"/>
      <c r="F55" s="99">
        <f>'Kiadások részletes COFOG'!F133</f>
        <v>0</v>
      </c>
    </row>
    <row r="56" spans="1:9" x14ac:dyDescent="0.2">
      <c r="A56" s="1081"/>
      <c r="B56" s="1082"/>
      <c r="C56" s="639">
        <f>SUM(C54:C55)</f>
        <v>0</v>
      </c>
      <c r="D56" s="639">
        <f t="shared" ref="D56" si="10">SUM(D54:D55)</f>
        <v>0</v>
      </c>
      <c r="E56" s="640"/>
      <c r="F56" s="641">
        <f>SUM(F54:F55)</f>
        <v>0</v>
      </c>
    </row>
    <row r="57" spans="1:9" ht="22.5" customHeight="1" thickBot="1" x14ac:dyDescent="0.25">
      <c r="A57" s="94" t="s">
        <v>260</v>
      </c>
      <c r="B57" s="95" t="s">
        <v>280</v>
      </c>
      <c r="C57" s="306">
        <v>0</v>
      </c>
      <c r="D57" s="636">
        <f>F57-C57</f>
        <v>0</v>
      </c>
      <c r="E57" s="339"/>
      <c r="F57" s="99">
        <v>0</v>
      </c>
    </row>
    <row r="58" spans="1:9" ht="23.25" customHeight="1" thickBot="1" x14ac:dyDescent="0.25">
      <c r="A58" s="1083" t="s">
        <v>281</v>
      </c>
      <c r="B58" s="1083"/>
      <c r="C58" s="96">
        <f>SUM(C18,C20,C40,C48,C53,C56,C57)</f>
        <v>125138177</v>
      </c>
      <c r="D58" s="96">
        <f>SUM(D18,D20,D40,D48,D53,D56,D57)</f>
        <v>138202599</v>
      </c>
      <c r="E58" s="340">
        <f>F58/C58*100</f>
        <v>210.43999706020969</v>
      </c>
      <c r="F58" s="97">
        <f>SUM(F18,F20,F40,F48,F53,F56,F57)</f>
        <v>263340776</v>
      </c>
    </row>
    <row r="59" spans="1:9" ht="26.25" customHeight="1" thickBot="1" x14ac:dyDescent="0.25">
      <c r="A59" s="1043" t="s">
        <v>121</v>
      </c>
      <c r="B59" s="1043"/>
      <c r="C59" s="1043"/>
      <c r="D59" s="1043"/>
      <c r="E59" s="1043"/>
      <c r="F59" s="1043"/>
    </row>
    <row r="60" spans="1:9" ht="21.75" customHeight="1" x14ac:dyDescent="0.2">
      <c r="A60" s="1084" t="s">
        <v>46</v>
      </c>
      <c r="B60" s="1085" t="s">
        <v>47</v>
      </c>
      <c r="C60" s="1079">
        <v>2021</v>
      </c>
      <c r="D60" s="1080"/>
      <c r="E60" s="1080"/>
      <c r="F60" s="573">
        <v>2022</v>
      </c>
    </row>
    <row r="61" spans="1:9" ht="24.75" customHeight="1" thickBot="1" x14ac:dyDescent="0.25">
      <c r="A61" s="1084"/>
      <c r="B61" s="1085"/>
      <c r="C61" s="152" t="s">
        <v>48</v>
      </c>
      <c r="D61" s="152" t="s">
        <v>519</v>
      </c>
      <c r="E61" s="152" t="s">
        <v>387</v>
      </c>
      <c r="F61" s="572" t="s">
        <v>520</v>
      </c>
    </row>
    <row r="62" spans="1:9" ht="15.95" customHeight="1" x14ac:dyDescent="0.2">
      <c r="A62" s="484" t="s">
        <v>170</v>
      </c>
      <c r="B62" s="491" t="s">
        <v>171</v>
      </c>
      <c r="C62" s="407">
        <v>50000</v>
      </c>
      <c r="D62" s="486">
        <f t="shared" ref="D62:D72" si="11">F62-C62</f>
        <v>0</v>
      </c>
      <c r="E62" s="204"/>
      <c r="F62" s="110">
        <f>'Kiadások részletes COFOG'!F138</f>
        <v>50000</v>
      </c>
    </row>
    <row r="63" spans="1:9" ht="15.95" customHeight="1" x14ac:dyDescent="0.2">
      <c r="A63" s="484" t="s">
        <v>189</v>
      </c>
      <c r="B63" s="491" t="s">
        <v>270</v>
      </c>
      <c r="C63" s="407">
        <v>0</v>
      </c>
      <c r="D63" s="766">
        <f t="shared" si="11"/>
        <v>0</v>
      </c>
      <c r="E63" s="204"/>
      <c r="F63" s="110"/>
    </row>
    <row r="64" spans="1:9" ht="15.95" customHeight="1" x14ac:dyDescent="0.2">
      <c r="A64" s="484" t="s">
        <v>193</v>
      </c>
      <c r="B64" s="491" t="s">
        <v>282</v>
      </c>
      <c r="C64" s="407">
        <v>0</v>
      </c>
      <c r="D64" s="766">
        <f t="shared" si="11"/>
        <v>0</v>
      </c>
      <c r="E64" s="204"/>
      <c r="F64" s="110">
        <f>'Kiadások részletes COFOG'!F141</f>
        <v>0</v>
      </c>
      <c r="I64" s="71"/>
    </row>
    <row r="65" spans="1:6" ht="15.95" customHeight="1" x14ac:dyDescent="0.2">
      <c r="A65" s="484" t="s">
        <v>199</v>
      </c>
      <c r="B65" s="491" t="s">
        <v>200</v>
      </c>
      <c r="C65" s="407">
        <v>200000</v>
      </c>
      <c r="D65" s="766">
        <f t="shared" si="11"/>
        <v>0</v>
      </c>
      <c r="E65" s="204"/>
      <c r="F65" s="110">
        <f>'Kiadások részletes COFOG'!F145</f>
        <v>200000</v>
      </c>
    </row>
    <row r="66" spans="1:6" ht="15.95" customHeight="1" x14ac:dyDescent="0.2">
      <c r="A66" s="484" t="s">
        <v>205</v>
      </c>
      <c r="B66" s="491" t="s">
        <v>206</v>
      </c>
      <c r="C66" s="407">
        <v>600000</v>
      </c>
      <c r="D66" s="766">
        <f t="shared" si="11"/>
        <v>0</v>
      </c>
      <c r="E66" s="204">
        <f>F66/C66*100</f>
        <v>100</v>
      </c>
      <c r="F66" s="110">
        <f>'Kiadások részletes COFOG'!F147</f>
        <v>600000</v>
      </c>
    </row>
    <row r="67" spans="1:6" ht="15.95" customHeight="1" x14ac:dyDescent="0.2">
      <c r="A67" s="484" t="s">
        <v>209</v>
      </c>
      <c r="B67" s="491" t="s">
        <v>210</v>
      </c>
      <c r="C67" s="407">
        <v>0</v>
      </c>
      <c r="D67" s="766">
        <f t="shared" si="11"/>
        <v>0</v>
      </c>
      <c r="E67" s="204"/>
      <c r="F67" s="110"/>
    </row>
    <row r="68" spans="1:6" ht="20.25" customHeight="1" x14ac:dyDescent="0.2">
      <c r="A68" s="484" t="s">
        <v>213</v>
      </c>
      <c r="B68" s="491" t="s">
        <v>273</v>
      </c>
      <c r="C68" s="407">
        <v>230000</v>
      </c>
      <c r="D68" s="766">
        <f t="shared" si="11"/>
        <v>0</v>
      </c>
      <c r="E68" s="204">
        <f>F68/C68*100</f>
        <v>100</v>
      </c>
      <c r="F68" s="110">
        <f>'Kiadások részletes COFOG'!F148</f>
        <v>230000</v>
      </c>
    </row>
    <row r="69" spans="1:6" ht="15.75" customHeight="1" x14ac:dyDescent="0.2">
      <c r="A69" s="489" t="s">
        <v>249</v>
      </c>
      <c r="B69" s="491" t="s">
        <v>283</v>
      </c>
      <c r="C69" s="407">
        <v>0</v>
      </c>
      <c r="D69" s="766">
        <f t="shared" si="11"/>
        <v>0</v>
      </c>
      <c r="E69" s="204"/>
      <c r="F69" s="110"/>
    </row>
    <row r="70" spans="1:6" ht="21.75" customHeight="1" x14ac:dyDescent="0.2">
      <c r="A70" s="94" t="s">
        <v>251</v>
      </c>
      <c r="B70" s="95" t="s">
        <v>278</v>
      </c>
      <c r="C70" s="531">
        <v>0</v>
      </c>
      <c r="D70" s="766">
        <f t="shared" si="11"/>
        <v>0</v>
      </c>
      <c r="E70" s="204"/>
      <c r="F70" s="99"/>
    </row>
    <row r="71" spans="1:6" ht="15" customHeight="1" x14ac:dyDescent="0.2">
      <c r="A71" s="489" t="s">
        <v>253</v>
      </c>
      <c r="B71" s="491" t="s">
        <v>355</v>
      </c>
      <c r="C71" s="407">
        <v>0</v>
      </c>
      <c r="D71" s="766">
        <f t="shared" si="11"/>
        <v>0</v>
      </c>
      <c r="E71" s="204"/>
      <c r="F71" s="110">
        <f>'Kiadások részletes COFOG'!F151</f>
        <v>0</v>
      </c>
    </row>
    <row r="72" spans="1:6" ht="22.5" customHeight="1" thickBot="1" x14ac:dyDescent="0.25">
      <c r="A72" s="94" t="s">
        <v>257</v>
      </c>
      <c r="B72" s="95" t="s">
        <v>279</v>
      </c>
      <c r="C72" s="531">
        <v>0</v>
      </c>
      <c r="D72" s="766">
        <f t="shared" si="11"/>
        <v>0</v>
      </c>
      <c r="E72" s="204"/>
      <c r="F72" s="99">
        <f>'Kiadások részletes COFOG'!F152</f>
        <v>0</v>
      </c>
    </row>
    <row r="73" spans="1:6" ht="27" customHeight="1" thickBot="1" x14ac:dyDescent="0.25">
      <c r="A73" s="1083" t="s">
        <v>281</v>
      </c>
      <c r="B73" s="1083"/>
      <c r="C73" s="96">
        <f>SUM(C62:C72)</f>
        <v>1080000</v>
      </c>
      <c r="D73" s="96">
        <f>SUM(D62:D72)</f>
        <v>0</v>
      </c>
      <c r="E73" s="340">
        <f>F73/C73*100</f>
        <v>100</v>
      </c>
      <c r="F73" s="97">
        <f>SUM(F62:F72)</f>
        <v>1080000</v>
      </c>
    </row>
    <row r="74" spans="1:6" ht="26.25" customHeight="1" thickBot="1" x14ac:dyDescent="0.25">
      <c r="A74" s="1043" t="s">
        <v>284</v>
      </c>
      <c r="B74" s="1043"/>
      <c r="C74" s="1043"/>
      <c r="D74" s="1043"/>
      <c r="E74" s="1043"/>
      <c r="F74" s="1043"/>
    </row>
    <row r="75" spans="1:6" ht="17.25" customHeight="1" thickBot="1" x14ac:dyDescent="0.25">
      <c r="A75" s="1086" t="s">
        <v>46</v>
      </c>
      <c r="B75" s="1087" t="s">
        <v>47</v>
      </c>
      <c r="C75" s="1079">
        <v>2021</v>
      </c>
      <c r="D75" s="1080"/>
      <c r="E75" s="1080"/>
      <c r="F75" s="573">
        <v>2022</v>
      </c>
    </row>
    <row r="76" spans="1:6" ht="25.5" customHeight="1" thickBot="1" x14ac:dyDescent="0.25">
      <c r="A76" s="1086"/>
      <c r="B76" s="1087"/>
      <c r="C76" s="152" t="s">
        <v>48</v>
      </c>
      <c r="D76" s="152" t="s">
        <v>519</v>
      </c>
      <c r="E76" s="152" t="s">
        <v>387</v>
      </c>
      <c r="F76" s="572" t="s">
        <v>520</v>
      </c>
    </row>
    <row r="77" spans="1:6" ht="15" customHeight="1" x14ac:dyDescent="0.2">
      <c r="A77" s="484" t="s">
        <v>170</v>
      </c>
      <c r="B77" s="491" t="s">
        <v>171</v>
      </c>
      <c r="C77" s="407">
        <v>0</v>
      </c>
      <c r="D77" s="486">
        <f t="shared" ref="D77:D87" si="12">F77-C77</f>
        <v>40000</v>
      </c>
      <c r="E77" s="204"/>
      <c r="F77" s="110">
        <f>'Kiadások részletes COFOG'!F157</f>
        <v>40000</v>
      </c>
    </row>
    <row r="78" spans="1:6" ht="15" customHeight="1" x14ac:dyDescent="0.2">
      <c r="A78" s="637" t="s">
        <v>187</v>
      </c>
      <c r="B78" s="638" t="s">
        <v>290</v>
      </c>
      <c r="C78" s="407">
        <v>1400000</v>
      </c>
      <c r="D78" s="635">
        <f t="shared" si="12"/>
        <v>200000</v>
      </c>
      <c r="E78" s="204">
        <f t="shared" ref="E78:E84" si="13">F78/C78*100</f>
        <v>114.28571428571428</v>
      </c>
      <c r="F78" s="110">
        <f>SUM(F79:F81)</f>
        <v>1600000</v>
      </c>
    </row>
    <row r="79" spans="1:6" ht="15" customHeight="1" x14ac:dyDescent="0.2">
      <c r="A79" s="484" t="s">
        <v>189</v>
      </c>
      <c r="B79" s="491" t="s">
        <v>411</v>
      </c>
      <c r="C79" s="407">
        <v>500000</v>
      </c>
      <c r="D79" s="635">
        <f t="shared" si="12"/>
        <v>-200000</v>
      </c>
      <c r="E79" s="204">
        <f t="shared" si="13"/>
        <v>60</v>
      </c>
      <c r="F79" s="110">
        <f>'Kiadások részletes COFOG'!F158</f>
        <v>300000</v>
      </c>
    </row>
    <row r="80" spans="1:6" ht="15" customHeight="1" x14ac:dyDescent="0.2">
      <c r="A80" s="484" t="s">
        <v>191</v>
      </c>
      <c r="B80" s="491" t="s">
        <v>412</v>
      </c>
      <c r="C80" s="407">
        <v>600000</v>
      </c>
      <c r="D80" s="635">
        <f t="shared" si="12"/>
        <v>600000</v>
      </c>
      <c r="E80" s="204">
        <f t="shared" si="13"/>
        <v>200</v>
      </c>
      <c r="F80" s="110">
        <f>'Kiadások részletes COFOG'!F159</f>
        <v>1200000</v>
      </c>
    </row>
    <row r="81" spans="1:10" ht="15" customHeight="1" x14ac:dyDescent="0.2">
      <c r="A81" s="484" t="s">
        <v>193</v>
      </c>
      <c r="B81" s="491" t="s">
        <v>413</v>
      </c>
      <c r="C81" s="407">
        <v>300000</v>
      </c>
      <c r="D81" s="635">
        <f t="shared" si="12"/>
        <v>-200000</v>
      </c>
      <c r="E81" s="204">
        <f t="shared" si="13"/>
        <v>33.333333333333329</v>
      </c>
      <c r="F81" s="110">
        <f>'Kiadások részletes COFOG'!F160</f>
        <v>100000</v>
      </c>
    </row>
    <row r="82" spans="1:10" ht="15" customHeight="1" x14ac:dyDescent="0.2">
      <c r="A82" s="484" t="s">
        <v>199</v>
      </c>
      <c r="B82" s="491" t="s">
        <v>410</v>
      </c>
      <c r="C82" s="407">
        <v>150000</v>
      </c>
      <c r="D82" s="635">
        <f t="shared" si="12"/>
        <v>0</v>
      </c>
      <c r="E82" s="204">
        <f t="shared" si="13"/>
        <v>100</v>
      </c>
      <c r="F82" s="110">
        <f>'Kiadások részletes COFOG'!F161</f>
        <v>150000</v>
      </c>
    </row>
    <row r="83" spans="1:10" ht="15" customHeight="1" x14ac:dyDescent="0.2">
      <c r="A83" s="488" t="s">
        <v>205</v>
      </c>
      <c r="B83" s="95" t="s">
        <v>414</v>
      </c>
      <c r="C83" s="531">
        <v>150000</v>
      </c>
      <c r="D83" s="635">
        <f t="shared" si="12"/>
        <v>0</v>
      </c>
      <c r="E83" s="204">
        <f t="shared" si="13"/>
        <v>100</v>
      </c>
      <c r="F83" s="99">
        <f>'Kiadások részletes COFOG'!F162</f>
        <v>150000</v>
      </c>
    </row>
    <row r="84" spans="1:10" ht="20.25" customHeight="1" x14ac:dyDescent="0.2">
      <c r="A84" s="488" t="s">
        <v>213</v>
      </c>
      <c r="B84" s="95" t="s">
        <v>273</v>
      </c>
      <c r="C84" s="531">
        <v>378000</v>
      </c>
      <c r="D84" s="635">
        <f t="shared" si="12"/>
        <v>146000</v>
      </c>
      <c r="E84" s="204">
        <f t="shared" si="13"/>
        <v>138.62433862433863</v>
      </c>
      <c r="F84" s="99">
        <f>'Kiadások részletes COFOG'!F163</f>
        <v>524000</v>
      </c>
      <c r="I84" s="1088"/>
      <c r="J84" s="1088"/>
    </row>
    <row r="85" spans="1:10" ht="20.25" customHeight="1" x14ac:dyDescent="0.2">
      <c r="A85" s="619" t="s">
        <v>245</v>
      </c>
      <c r="B85" s="620" t="s">
        <v>551</v>
      </c>
      <c r="C85" s="407">
        <v>0</v>
      </c>
      <c r="D85" s="635">
        <f t="shared" si="12"/>
        <v>0</v>
      </c>
      <c r="E85" s="204">
        <v>0</v>
      </c>
      <c r="F85" s="110">
        <f>'Kiadások részletes COFOG'!F164</f>
        <v>0</v>
      </c>
      <c r="G85" s="238" t="s">
        <v>553</v>
      </c>
      <c r="I85" s="616"/>
      <c r="J85" s="616"/>
    </row>
    <row r="86" spans="1:10" ht="20.25" customHeight="1" x14ac:dyDescent="0.2">
      <c r="A86" s="94" t="s">
        <v>253</v>
      </c>
      <c r="B86" s="95" t="s">
        <v>554</v>
      </c>
      <c r="C86" s="531">
        <v>0</v>
      </c>
      <c r="D86" s="635">
        <f t="shared" si="12"/>
        <v>365000</v>
      </c>
      <c r="E86" s="204">
        <v>0</v>
      </c>
      <c r="F86" s="99">
        <f>'Kiadások részletes COFOG'!F165</f>
        <v>365000</v>
      </c>
      <c r="G86" s="238" t="s">
        <v>546</v>
      </c>
      <c r="I86" s="616"/>
      <c r="J86" s="616"/>
    </row>
    <row r="87" spans="1:10" ht="20.25" customHeight="1" thickBot="1" x14ac:dyDescent="0.25">
      <c r="A87" s="94" t="s">
        <v>257</v>
      </c>
      <c r="B87" s="95" t="s">
        <v>279</v>
      </c>
      <c r="C87" s="531">
        <v>0</v>
      </c>
      <c r="D87" s="635">
        <f t="shared" si="12"/>
        <v>135000</v>
      </c>
      <c r="E87" s="204">
        <v>0</v>
      </c>
      <c r="F87" s="99">
        <f>'Kiadások részletes COFOG'!F166</f>
        <v>135000</v>
      </c>
      <c r="I87" s="616"/>
      <c r="J87" s="616"/>
    </row>
    <row r="88" spans="1:10" ht="19.5" customHeight="1" thickBot="1" x14ac:dyDescent="0.25">
      <c r="A88" s="1083" t="s">
        <v>281</v>
      </c>
      <c r="B88" s="1083"/>
      <c r="C88" s="96">
        <f>SUM(C77,C79:C87)</f>
        <v>2078000</v>
      </c>
      <c r="D88" s="96">
        <f>SUM(D77,D79:D87)</f>
        <v>886000</v>
      </c>
      <c r="E88" s="340">
        <f>F88/C88*100</f>
        <v>142.6371511068335</v>
      </c>
      <c r="F88" s="97">
        <f>SUM(F78+F82+F83+F84+F77+F86+F87)</f>
        <v>2964000</v>
      </c>
    </row>
    <row r="89" spans="1:10" ht="24" customHeight="1" thickBot="1" x14ac:dyDescent="0.25">
      <c r="A89" s="1043" t="s">
        <v>285</v>
      </c>
      <c r="B89" s="1043"/>
      <c r="C89" s="1043"/>
      <c r="D89" s="1043"/>
      <c r="E89" s="1043"/>
      <c r="F89" s="1043"/>
    </row>
    <row r="90" spans="1:10" ht="22.5" customHeight="1" thickBot="1" x14ac:dyDescent="0.25">
      <c r="A90" s="1086" t="s">
        <v>46</v>
      </c>
      <c r="B90" s="1087" t="s">
        <v>47</v>
      </c>
      <c r="C90" s="1079">
        <v>2021</v>
      </c>
      <c r="D90" s="1080"/>
      <c r="E90" s="1080"/>
      <c r="F90" s="573">
        <v>2022</v>
      </c>
    </row>
    <row r="91" spans="1:10" ht="22.5" customHeight="1" thickBot="1" x14ac:dyDescent="0.25">
      <c r="A91" s="1086"/>
      <c r="B91" s="1087"/>
      <c r="C91" s="152" t="s">
        <v>48</v>
      </c>
      <c r="D91" s="152" t="s">
        <v>519</v>
      </c>
      <c r="E91" s="152" t="s">
        <v>387</v>
      </c>
      <c r="F91" s="572" t="s">
        <v>520</v>
      </c>
    </row>
    <row r="92" spans="1:10" ht="15.95" customHeight="1" x14ac:dyDescent="0.2">
      <c r="A92" s="484" t="s">
        <v>156</v>
      </c>
      <c r="B92" s="491" t="s">
        <v>157</v>
      </c>
      <c r="C92" s="407">
        <v>300000</v>
      </c>
      <c r="D92" s="486">
        <f t="shared" ref="D92:D98" si="14">F92-C92</f>
        <v>0</v>
      </c>
      <c r="E92" s="204">
        <f>F92/C92*100</f>
        <v>100</v>
      </c>
      <c r="F92" s="110">
        <f>'Kiadások részletes COFOG'!F171</f>
        <v>300000</v>
      </c>
    </row>
    <row r="93" spans="1:10" ht="15.95" customHeight="1" x14ac:dyDescent="0.2">
      <c r="A93" s="987" t="s">
        <v>316</v>
      </c>
      <c r="B93" s="944" t="s">
        <v>666</v>
      </c>
      <c r="C93" s="407">
        <v>0</v>
      </c>
      <c r="D93" s="988">
        <f t="shared" si="14"/>
        <v>100000</v>
      </c>
      <c r="E93" s="204">
        <v>0</v>
      </c>
      <c r="F93" s="110">
        <f>SUM('Kiadások részletes COFOG'!F172)</f>
        <v>100000</v>
      </c>
    </row>
    <row r="94" spans="1:10" ht="15.95" customHeight="1" x14ac:dyDescent="0.2">
      <c r="A94" s="484" t="s">
        <v>170</v>
      </c>
      <c r="B94" s="491" t="s">
        <v>171</v>
      </c>
      <c r="C94" s="407">
        <v>700000</v>
      </c>
      <c r="D94" s="766">
        <f t="shared" si="14"/>
        <v>0</v>
      </c>
      <c r="E94" s="204">
        <f>F94/C94*100</f>
        <v>100</v>
      </c>
      <c r="F94" s="110">
        <f>'Kiadások részletes COFOG'!F175</f>
        <v>700000</v>
      </c>
    </row>
    <row r="95" spans="1:10" ht="15.95" customHeight="1" x14ac:dyDescent="0.2">
      <c r="A95" s="489" t="s">
        <v>195</v>
      </c>
      <c r="B95" s="491" t="s">
        <v>196</v>
      </c>
      <c r="C95" s="407"/>
      <c r="D95" s="766">
        <f t="shared" si="14"/>
        <v>0</v>
      </c>
      <c r="E95" s="204">
        <v>0</v>
      </c>
      <c r="F95" s="110">
        <v>0</v>
      </c>
    </row>
    <row r="96" spans="1:10" ht="15.95" customHeight="1" x14ac:dyDescent="0.2">
      <c r="A96" s="489" t="s">
        <v>205</v>
      </c>
      <c r="B96" s="491" t="s">
        <v>206</v>
      </c>
      <c r="C96" s="407">
        <v>604000</v>
      </c>
      <c r="D96" s="766">
        <f t="shared" si="14"/>
        <v>-4000</v>
      </c>
      <c r="E96" s="204">
        <f>F96/C96*100</f>
        <v>99.337748344370851</v>
      </c>
      <c r="F96" s="110">
        <f>'Kiadások részletes COFOG'!F177</f>
        <v>600000</v>
      </c>
    </row>
    <row r="97" spans="1:15" ht="15.95" customHeight="1" x14ac:dyDescent="0.2">
      <c r="A97" s="489" t="s">
        <v>294</v>
      </c>
      <c r="B97" s="491" t="s">
        <v>295</v>
      </c>
      <c r="C97" s="407">
        <v>100000</v>
      </c>
      <c r="D97" s="766">
        <f t="shared" si="14"/>
        <v>0</v>
      </c>
      <c r="E97" s="204">
        <f>F97/C97*100</f>
        <v>100</v>
      </c>
      <c r="F97" s="110">
        <f>'Kiadások részletes COFOG'!F178</f>
        <v>100000</v>
      </c>
    </row>
    <row r="98" spans="1:15" ht="23.25" customHeight="1" thickBot="1" x14ac:dyDescent="0.25">
      <c r="A98" s="94" t="s">
        <v>213</v>
      </c>
      <c r="B98" s="95" t="s">
        <v>273</v>
      </c>
      <c r="C98" s="531">
        <v>433000</v>
      </c>
      <c r="D98" s="766">
        <f t="shared" si="14"/>
        <v>0</v>
      </c>
      <c r="E98" s="204">
        <f>F98/C98*100</f>
        <v>100</v>
      </c>
      <c r="F98" s="99">
        <f>'Kiadások részletes COFOG'!F179</f>
        <v>433000</v>
      </c>
    </row>
    <row r="99" spans="1:15" ht="19.5" customHeight="1" thickBot="1" x14ac:dyDescent="0.25">
      <c r="A99" s="1083" t="s">
        <v>281</v>
      </c>
      <c r="B99" s="1083"/>
      <c r="C99" s="96">
        <f>SUM(C92:C98)</f>
        <v>2137000</v>
      </c>
      <c r="D99" s="96">
        <f>SUM(D92:D98)</f>
        <v>96000</v>
      </c>
      <c r="E99" s="340">
        <f>F99/C99*100</f>
        <v>104.4922788956481</v>
      </c>
      <c r="F99" s="97">
        <f>SUM(F92:F98)</f>
        <v>2233000</v>
      </c>
    </row>
    <row r="100" spans="1:15" ht="25.5" customHeight="1" thickBot="1" x14ac:dyDescent="0.25">
      <c r="A100" s="1089" t="s">
        <v>122</v>
      </c>
      <c r="B100" s="1090"/>
      <c r="C100" s="1090"/>
      <c r="D100" s="1090"/>
      <c r="E100" s="1090"/>
      <c r="F100" s="1091"/>
    </row>
    <row r="101" spans="1:15" ht="22.5" customHeight="1" thickBot="1" x14ac:dyDescent="0.25">
      <c r="A101" s="1086" t="s">
        <v>46</v>
      </c>
      <c r="B101" s="1087" t="s">
        <v>47</v>
      </c>
      <c r="C101" s="1079">
        <v>2021</v>
      </c>
      <c r="D101" s="1080"/>
      <c r="E101" s="1080"/>
      <c r="F101" s="573">
        <v>2022</v>
      </c>
    </row>
    <row r="102" spans="1:15" ht="24" customHeight="1" thickBot="1" x14ac:dyDescent="0.25">
      <c r="A102" s="1086"/>
      <c r="B102" s="1087"/>
      <c r="C102" s="152" t="s">
        <v>48</v>
      </c>
      <c r="D102" s="152" t="s">
        <v>519</v>
      </c>
      <c r="E102" s="152" t="s">
        <v>387</v>
      </c>
      <c r="F102" s="572" t="s">
        <v>520</v>
      </c>
    </row>
    <row r="103" spans="1:15" ht="24" customHeight="1" x14ac:dyDescent="0.2">
      <c r="A103" s="164" t="s">
        <v>234</v>
      </c>
      <c r="B103" s="165" t="s">
        <v>286</v>
      </c>
      <c r="C103" s="298">
        <v>0</v>
      </c>
      <c r="D103" s="166">
        <f>F103-C103</f>
        <v>0</v>
      </c>
      <c r="E103" s="341">
        <v>0</v>
      </c>
      <c r="F103" s="167">
        <f>'Kiadások részletes COFOG'!F184</f>
        <v>0</v>
      </c>
    </row>
    <row r="104" spans="1:15" ht="30" customHeight="1" thickBot="1" x14ac:dyDescent="0.25">
      <c r="A104" s="488" t="s">
        <v>41</v>
      </c>
      <c r="B104" s="95" t="s">
        <v>261</v>
      </c>
      <c r="C104" s="306">
        <v>7625248</v>
      </c>
      <c r="D104" s="166">
        <f>F104-C104</f>
        <v>114907</v>
      </c>
      <c r="E104" s="341">
        <f>F104/C104*100</f>
        <v>101.50692803696353</v>
      </c>
      <c r="F104" s="168">
        <f>SUM('Kiadások részletes COFOG'!F185)</f>
        <v>7740155</v>
      </c>
    </row>
    <row r="105" spans="1:15" ht="22.5" customHeight="1" thickBot="1" x14ac:dyDescent="0.25">
      <c r="A105" s="1083" t="s">
        <v>281</v>
      </c>
      <c r="B105" s="1083"/>
      <c r="C105" s="96">
        <f>SUM(C103:C104)</f>
        <v>7625248</v>
      </c>
      <c r="D105" s="96">
        <f>SUM(D103:D104)</f>
        <v>114907</v>
      </c>
      <c r="E105" s="340">
        <f>F105/C105*100</f>
        <v>101.50692803696353</v>
      </c>
      <c r="F105" s="97">
        <f>SUM(F103:F104)</f>
        <v>7740155</v>
      </c>
    </row>
    <row r="106" spans="1:15" ht="23.25" customHeight="1" thickBot="1" x14ac:dyDescent="0.25">
      <c r="A106" s="1043" t="s">
        <v>133</v>
      </c>
      <c r="B106" s="1043"/>
      <c r="C106" s="1043"/>
      <c r="D106" s="1043"/>
      <c r="E106" s="1043"/>
      <c r="F106" s="1043"/>
    </row>
    <row r="107" spans="1:15" ht="19.5" customHeight="1" x14ac:dyDescent="0.2">
      <c r="A107" s="1084" t="s">
        <v>46</v>
      </c>
      <c r="B107" s="1085" t="s">
        <v>47</v>
      </c>
      <c r="C107" s="1079">
        <v>2021</v>
      </c>
      <c r="D107" s="1080"/>
      <c r="E107" s="1080"/>
      <c r="F107" s="573">
        <v>2022</v>
      </c>
    </row>
    <row r="108" spans="1:15" ht="22.5" customHeight="1" thickBot="1" x14ac:dyDescent="0.25">
      <c r="A108" s="1074"/>
      <c r="B108" s="1075"/>
      <c r="C108" s="152" t="s">
        <v>48</v>
      </c>
      <c r="D108" s="152" t="s">
        <v>519</v>
      </c>
      <c r="E108" s="152" t="s">
        <v>387</v>
      </c>
      <c r="F108" s="572" t="s">
        <v>520</v>
      </c>
    </row>
    <row r="109" spans="1:15" ht="22.5" customHeight="1" x14ac:dyDescent="0.2">
      <c r="A109" s="558" t="s">
        <v>233</v>
      </c>
      <c r="B109" s="556" t="s">
        <v>518</v>
      </c>
      <c r="C109" s="531">
        <v>10000000</v>
      </c>
      <c r="D109" s="306">
        <f>F109-C109</f>
        <v>1000000</v>
      </c>
      <c r="E109" s="559">
        <f>F109/C109*100</f>
        <v>110.00000000000001</v>
      </c>
      <c r="F109" s="399">
        <f>'Kiadások részletes COFOG'!F192+'Kiadások részletes COFOG'!F194</f>
        <v>11000000</v>
      </c>
    </row>
    <row r="110" spans="1:15" ht="23.25" customHeight="1" thickBot="1" x14ac:dyDescent="0.25">
      <c r="A110" s="488" t="s">
        <v>262</v>
      </c>
      <c r="B110" s="95" t="s">
        <v>263</v>
      </c>
      <c r="C110" s="531">
        <v>162999400</v>
      </c>
      <c r="D110" s="306">
        <f>F110-C110</f>
        <v>24586484</v>
      </c>
      <c r="E110" s="559">
        <f>F110/C110*100</f>
        <v>115.08378803848358</v>
      </c>
      <c r="F110" s="99">
        <f>SUM('Kiadások részletes COFOG'!F195)</f>
        <v>187585884</v>
      </c>
      <c r="G110" s="169"/>
      <c r="H110" s="161"/>
      <c r="I110" s="39"/>
      <c r="J110" s="39"/>
      <c r="K110" s="39"/>
      <c r="L110" s="39"/>
      <c r="M110" s="39"/>
      <c r="N110" s="39"/>
      <c r="O110" s="39"/>
    </row>
    <row r="111" spans="1:15" ht="21" customHeight="1" thickBot="1" x14ac:dyDescent="0.25">
      <c r="A111" s="1092" t="s">
        <v>281</v>
      </c>
      <c r="B111" s="1092"/>
      <c r="C111" s="540">
        <f>SUM(C109:C110)</f>
        <v>172999400</v>
      </c>
      <c r="D111" s="170">
        <f>SUM(D109:D110)</f>
        <v>25586484</v>
      </c>
      <c r="E111" s="560">
        <f>F111/C111*100</f>
        <v>114.78992643905124</v>
      </c>
      <c r="F111" s="171">
        <f>SUM(F109:F110)</f>
        <v>198585884</v>
      </c>
      <c r="G111" s="172"/>
      <c r="H111" s="173"/>
      <c r="I111" s="49"/>
      <c r="J111" s="49"/>
      <c r="K111" s="49"/>
    </row>
    <row r="112" spans="1:15" ht="25.5" customHeight="1" thickBot="1" x14ac:dyDescent="0.25">
      <c r="A112" s="1043" t="s">
        <v>420</v>
      </c>
      <c r="B112" s="1043"/>
      <c r="C112" s="1043"/>
      <c r="D112" s="1043"/>
      <c r="E112" s="1043"/>
      <c r="F112" s="1043"/>
    </row>
    <row r="113" spans="1:6" ht="21.75" customHeight="1" x14ac:dyDescent="0.2">
      <c r="A113" s="1084" t="s">
        <v>46</v>
      </c>
      <c r="B113" s="1085" t="s">
        <v>47</v>
      </c>
      <c r="C113" s="1079">
        <v>2021</v>
      </c>
      <c r="D113" s="1080"/>
      <c r="E113" s="1080"/>
      <c r="F113" s="573">
        <v>2022</v>
      </c>
    </row>
    <row r="114" spans="1:6" ht="23.25" customHeight="1" thickBot="1" x14ac:dyDescent="0.25">
      <c r="A114" s="1084"/>
      <c r="B114" s="1085"/>
      <c r="C114" s="152" t="s">
        <v>48</v>
      </c>
      <c r="D114" s="152" t="s">
        <v>519</v>
      </c>
      <c r="E114" s="152" t="s">
        <v>387</v>
      </c>
      <c r="F114" s="572" t="s">
        <v>520</v>
      </c>
    </row>
    <row r="115" spans="1:6" ht="15" customHeight="1" x14ac:dyDescent="0.2">
      <c r="A115" s="484" t="s">
        <v>144</v>
      </c>
      <c r="B115" s="491" t="s">
        <v>421</v>
      </c>
      <c r="C115" s="756">
        <v>3200000</v>
      </c>
      <c r="D115" s="486">
        <f t="shared" ref="D115:D120" si="15">F115-C115</f>
        <v>1540000</v>
      </c>
      <c r="E115" s="204">
        <f t="shared" ref="E115:E121" si="16">F115/C115*100</f>
        <v>148.125</v>
      </c>
      <c r="F115" s="174">
        <f>'Kiadások részletes COFOG'!F207</f>
        <v>4740000</v>
      </c>
    </row>
    <row r="116" spans="1:6" ht="15" customHeight="1" x14ac:dyDescent="0.2">
      <c r="A116" s="489" t="s">
        <v>158</v>
      </c>
      <c r="B116" s="491" t="s">
        <v>159</v>
      </c>
      <c r="C116" s="756">
        <v>248000</v>
      </c>
      <c r="D116" s="766">
        <f t="shared" si="15"/>
        <v>64000</v>
      </c>
      <c r="E116" s="204">
        <f t="shared" si="16"/>
        <v>125.80645161290323</v>
      </c>
      <c r="F116" s="174">
        <f>'Kiadások részletes COFOG'!F210</f>
        <v>312000</v>
      </c>
    </row>
    <row r="117" spans="1:6" ht="15" customHeight="1" x14ac:dyDescent="0.2">
      <c r="A117" s="489" t="s">
        <v>170</v>
      </c>
      <c r="B117" s="491" t="s">
        <v>171</v>
      </c>
      <c r="C117" s="756"/>
      <c r="D117" s="766">
        <f t="shared" si="15"/>
        <v>0</v>
      </c>
      <c r="E117" s="204">
        <v>0</v>
      </c>
      <c r="F117" s="174">
        <f>'Kiadások részletes COFOG'!F212</f>
        <v>0</v>
      </c>
    </row>
    <row r="118" spans="1:6" ht="21.75" customHeight="1" x14ac:dyDescent="0.2">
      <c r="A118" s="489" t="s">
        <v>213</v>
      </c>
      <c r="B118" s="491" t="s">
        <v>273</v>
      </c>
      <c r="C118" s="756"/>
      <c r="D118" s="766">
        <f t="shared" si="15"/>
        <v>0</v>
      </c>
      <c r="E118" s="204">
        <v>0</v>
      </c>
      <c r="F118" s="174">
        <f>'Kiadások részletes COFOG'!F213</f>
        <v>0</v>
      </c>
    </row>
    <row r="119" spans="1:6" ht="21.75" customHeight="1" x14ac:dyDescent="0.2">
      <c r="A119" s="489" t="s">
        <v>249</v>
      </c>
      <c r="B119" s="491" t="s">
        <v>250</v>
      </c>
      <c r="C119" s="756"/>
      <c r="D119" s="766">
        <f t="shared" si="15"/>
        <v>0</v>
      </c>
      <c r="E119" s="204">
        <v>0</v>
      </c>
      <c r="F119" s="174">
        <f>'Kiadások részletes COFOG'!F214</f>
        <v>0</v>
      </c>
    </row>
    <row r="120" spans="1:6" ht="22.5" customHeight="1" thickBot="1" x14ac:dyDescent="0.25">
      <c r="A120" s="94" t="s">
        <v>251</v>
      </c>
      <c r="B120" s="95" t="s">
        <v>278</v>
      </c>
      <c r="C120" s="756"/>
      <c r="D120" s="766">
        <f t="shared" si="15"/>
        <v>0</v>
      </c>
      <c r="E120" s="204">
        <v>0</v>
      </c>
      <c r="F120" s="175">
        <f>'Kiadások részletes COFOG'!F215</f>
        <v>0</v>
      </c>
    </row>
    <row r="121" spans="1:6" ht="20.25" customHeight="1" thickBot="1" x14ac:dyDescent="0.25">
      <c r="A121" s="1093" t="s">
        <v>281</v>
      </c>
      <c r="B121" s="1093"/>
      <c r="C121" s="383">
        <f>SUM(C115:C120)</f>
        <v>3448000</v>
      </c>
      <c r="D121" s="383">
        <f>SUM(D115:D120)</f>
        <v>1604000</v>
      </c>
      <c r="E121" s="384">
        <f t="shared" si="16"/>
        <v>146.51972157772622</v>
      </c>
      <c r="F121" s="385">
        <f>SUM(F115:F120)</f>
        <v>5052000</v>
      </c>
    </row>
    <row r="122" spans="1:6" ht="20.25" hidden="1" customHeight="1" thickBot="1" x14ac:dyDescent="0.25">
      <c r="A122" s="1043" t="s">
        <v>422</v>
      </c>
      <c r="B122" s="1043"/>
      <c r="C122" s="1043"/>
      <c r="D122" s="1043"/>
      <c r="E122" s="1043"/>
      <c r="F122" s="1043"/>
    </row>
    <row r="123" spans="1:6" ht="20.25" hidden="1" customHeight="1" x14ac:dyDescent="0.2">
      <c r="A123" s="1084" t="s">
        <v>46</v>
      </c>
      <c r="B123" s="1085" t="s">
        <v>47</v>
      </c>
      <c r="C123" s="1079">
        <v>2021</v>
      </c>
      <c r="D123" s="1080"/>
      <c r="E123" s="1080"/>
      <c r="F123" s="573">
        <v>2022</v>
      </c>
    </row>
    <row r="124" spans="1:6" ht="20.25" hidden="1" customHeight="1" thickBot="1" x14ac:dyDescent="0.25">
      <c r="A124" s="1084"/>
      <c r="B124" s="1085"/>
      <c r="C124" s="152" t="s">
        <v>48</v>
      </c>
      <c r="D124" s="152" t="s">
        <v>519</v>
      </c>
      <c r="E124" s="152" t="s">
        <v>387</v>
      </c>
      <c r="F124" s="572" t="s">
        <v>520</v>
      </c>
    </row>
    <row r="125" spans="1:6" ht="20.25" hidden="1" customHeight="1" x14ac:dyDescent="0.2">
      <c r="A125" s="484" t="s">
        <v>144</v>
      </c>
      <c r="B125" s="491" t="s">
        <v>421</v>
      </c>
      <c r="C125" s="504"/>
      <c r="D125" s="486"/>
      <c r="E125" s="204"/>
      <c r="F125" s="174"/>
    </row>
    <row r="126" spans="1:6" ht="20.25" hidden="1" customHeight="1" x14ac:dyDescent="0.2">
      <c r="A126" s="489" t="s">
        <v>150</v>
      </c>
      <c r="B126" s="491" t="s">
        <v>151</v>
      </c>
      <c r="C126" s="504"/>
      <c r="D126" s="486"/>
      <c r="E126" s="204"/>
      <c r="F126" s="174"/>
    </row>
    <row r="127" spans="1:6" ht="20.25" hidden="1" customHeight="1" x14ac:dyDescent="0.2">
      <c r="A127" s="489" t="s">
        <v>158</v>
      </c>
      <c r="B127" s="491" t="s">
        <v>159</v>
      </c>
      <c r="C127" s="504"/>
      <c r="D127" s="486"/>
      <c r="E127" s="204"/>
      <c r="F127" s="174"/>
    </row>
    <row r="128" spans="1:6" ht="20.25" hidden="1" customHeight="1" x14ac:dyDescent="0.2">
      <c r="A128" s="489" t="s">
        <v>170</v>
      </c>
      <c r="B128" s="491" t="s">
        <v>171</v>
      </c>
      <c r="C128" s="504"/>
      <c r="D128" s="486"/>
      <c r="E128" s="204"/>
      <c r="F128" s="174"/>
    </row>
    <row r="129" spans="1:15" ht="20.25" hidden="1" customHeight="1" thickBot="1" x14ac:dyDescent="0.25">
      <c r="A129" s="489" t="s">
        <v>213</v>
      </c>
      <c r="B129" s="491" t="s">
        <v>273</v>
      </c>
      <c r="C129" s="504"/>
      <c r="D129" s="486"/>
      <c r="E129" s="204"/>
      <c r="F129" s="174"/>
    </row>
    <row r="130" spans="1:15" ht="20.25" hidden="1" customHeight="1" thickBot="1" x14ac:dyDescent="0.25">
      <c r="A130" s="1093" t="s">
        <v>281</v>
      </c>
      <c r="B130" s="1093"/>
      <c r="C130" s="383"/>
      <c r="D130" s="383"/>
      <c r="E130" s="384"/>
      <c r="F130" s="385"/>
    </row>
    <row r="131" spans="1:15" ht="24" customHeight="1" thickBot="1" x14ac:dyDescent="0.25">
      <c r="A131" s="1043" t="s">
        <v>287</v>
      </c>
      <c r="B131" s="1043"/>
      <c r="C131" s="1043"/>
      <c r="D131" s="1043"/>
      <c r="E131" s="1043"/>
      <c r="F131" s="1043"/>
    </row>
    <row r="132" spans="1:15" ht="23.25" customHeight="1" x14ac:dyDescent="0.2">
      <c r="A132" s="1084" t="s">
        <v>46</v>
      </c>
      <c r="B132" s="1085" t="s">
        <v>47</v>
      </c>
      <c r="C132" s="1079">
        <v>2021</v>
      </c>
      <c r="D132" s="1080"/>
      <c r="E132" s="1080"/>
      <c r="F132" s="573">
        <v>2022</v>
      </c>
    </row>
    <row r="133" spans="1:15" ht="25.5" customHeight="1" thickBot="1" x14ac:dyDescent="0.25">
      <c r="A133" s="1084"/>
      <c r="B133" s="1085"/>
      <c r="C133" s="152" t="s">
        <v>48</v>
      </c>
      <c r="D133" s="152" t="s">
        <v>519</v>
      </c>
      <c r="E133" s="152" t="s">
        <v>387</v>
      </c>
      <c r="F133" s="572" t="s">
        <v>520</v>
      </c>
    </row>
    <row r="134" spans="1:15" ht="15" customHeight="1" x14ac:dyDescent="0.2">
      <c r="A134" s="484" t="s">
        <v>170</v>
      </c>
      <c r="B134" s="491" t="s">
        <v>171</v>
      </c>
      <c r="C134" s="504">
        <v>700000</v>
      </c>
      <c r="D134" s="486">
        <f t="shared" ref="D134:D140" si="17">F134-C134</f>
        <v>0</v>
      </c>
      <c r="E134" s="204">
        <f>F134/C134*100</f>
        <v>100</v>
      </c>
      <c r="F134" s="110">
        <f>'Kiadások részletes COFOG'!F230</f>
        <v>700000</v>
      </c>
    </row>
    <row r="135" spans="1:15" ht="15" customHeight="1" x14ac:dyDescent="0.2">
      <c r="A135" s="484" t="s">
        <v>199</v>
      </c>
      <c r="B135" s="491" t="s">
        <v>200</v>
      </c>
      <c r="C135" s="504">
        <v>2525000</v>
      </c>
      <c r="D135" s="766">
        <f t="shared" si="17"/>
        <v>-695000</v>
      </c>
      <c r="E135" s="204">
        <f>F135/C135*100</f>
        <v>72.475247524752476</v>
      </c>
      <c r="F135" s="110">
        <f>'Kiadások részletes COFOG'!F234</f>
        <v>1830000</v>
      </c>
    </row>
    <row r="136" spans="1:15" ht="15" customHeight="1" x14ac:dyDescent="0.2">
      <c r="A136" s="484" t="s">
        <v>205</v>
      </c>
      <c r="B136" s="491" t="s">
        <v>206</v>
      </c>
      <c r="C136" s="504">
        <v>1680000</v>
      </c>
      <c r="D136" s="766">
        <f t="shared" si="17"/>
        <v>220000</v>
      </c>
      <c r="E136" s="204">
        <f>F136/C136*100</f>
        <v>113.09523809523809</v>
      </c>
      <c r="F136" s="110">
        <f>'Kiadások részletes COFOG'!F235</f>
        <v>1900000</v>
      </c>
    </row>
    <row r="137" spans="1:15" ht="15" customHeight="1" x14ac:dyDescent="0.2">
      <c r="A137" s="484" t="s">
        <v>209</v>
      </c>
      <c r="B137" s="491" t="s">
        <v>210</v>
      </c>
      <c r="C137" s="504">
        <v>0</v>
      </c>
      <c r="D137" s="766">
        <f t="shared" si="17"/>
        <v>0</v>
      </c>
      <c r="E137" s="204">
        <v>0</v>
      </c>
      <c r="F137" s="110">
        <v>0</v>
      </c>
    </row>
    <row r="138" spans="1:15" ht="21" x14ac:dyDescent="0.2">
      <c r="A138" s="484" t="s">
        <v>213</v>
      </c>
      <c r="B138" s="491" t="s">
        <v>273</v>
      </c>
      <c r="C138" s="504">
        <v>1300000</v>
      </c>
      <c r="D138" s="766">
        <f t="shared" si="17"/>
        <v>-100000</v>
      </c>
      <c r="E138" s="204">
        <f>F138/C138*100</f>
        <v>92.307692307692307</v>
      </c>
      <c r="F138" s="110">
        <f>'Kiadások részletes COFOG'!F238</f>
        <v>1200000</v>
      </c>
      <c r="G138" s="49"/>
      <c r="H138" s="173"/>
      <c r="I138" s="49"/>
      <c r="J138" s="49"/>
      <c r="K138" s="49"/>
    </row>
    <row r="139" spans="1:15" ht="15" customHeight="1" x14ac:dyDescent="0.2">
      <c r="A139" s="484" t="s">
        <v>253</v>
      </c>
      <c r="B139" s="491" t="s">
        <v>254</v>
      </c>
      <c r="C139" s="504">
        <v>0</v>
      </c>
      <c r="D139" s="766">
        <f t="shared" si="17"/>
        <v>2800000</v>
      </c>
      <c r="E139" s="204">
        <v>0</v>
      </c>
      <c r="F139" s="110">
        <f>'Kiadások részletes COFOG'!F242</f>
        <v>2800000</v>
      </c>
      <c r="H139" s="173"/>
      <c r="I139" s="1094"/>
      <c r="J139" s="1094"/>
      <c r="K139" s="49"/>
      <c r="L139" s="158"/>
    </row>
    <row r="140" spans="1:15" ht="21.75" thickBot="1" x14ac:dyDescent="0.25">
      <c r="A140" s="488" t="s">
        <v>257</v>
      </c>
      <c r="B140" s="95" t="s">
        <v>279</v>
      </c>
      <c r="C140" s="306">
        <v>0</v>
      </c>
      <c r="D140" s="766">
        <f t="shared" si="17"/>
        <v>700000</v>
      </c>
      <c r="E140" s="204">
        <v>0</v>
      </c>
      <c r="F140" s="99">
        <f>'Kiadások részletes COFOG'!F243</f>
        <v>700000</v>
      </c>
    </row>
    <row r="141" spans="1:15" ht="21" customHeight="1" thickBot="1" x14ac:dyDescent="0.25">
      <c r="A141" s="1083" t="s">
        <v>281</v>
      </c>
      <c r="B141" s="1083"/>
      <c r="C141" s="96">
        <f>SUM(C134:C140)</f>
        <v>6205000</v>
      </c>
      <c r="D141" s="96">
        <f>SUM(D134:D140)</f>
        <v>2925000</v>
      </c>
      <c r="E141" s="340">
        <f>F141/C141*100</f>
        <v>147.13940370668817</v>
      </c>
      <c r="F141" s="97">
        <f>SUM(F134:F140)</f>
        <v>9130000</v>
      </c>
      <c r="M141" s="39"/>
      <c r="N141" s="39"/>
    </row>
    <row r="142" spans="1:15" ht="30" customHeight="1" thickBot="1" x14ac:dyDescent="0.25">
      <c r="A142" s="1043" t="s">
        <v>134</v>
      </c>
      <c r="B142" s="1043"/>
      <c r="C142" s="1043"/>
      <c r="D142" s="1043"/>
      <c r="E142" s="1043"/>
      <c r="F142" s="1043"/>
    </row>
    <row r="143" spans="1:15" ht="18" customHeight="1" x14ac:dyDescent="0.2">
      <c r="A143" s="1084" t="s">
        <v>46</v>
      </c>
      <c r="B143" s="1085" t="s">
        <v>47</v>
      </c>
      <c r="C143" s="1079">
        <v>2021</v>
      </c>
      <c r="D143" s="1080"/>
      <c r="E143" s="1080"/>
      <c r="F143" s="573">
        <v>2022</v>
      </c>
      <c r="L143" s="39"/>
      <c r="M143" s="39"/>
      <c r="N143" s="39"/>
      <c r="O143" s="39"/>
    </row>
    <row r="144" spans="1:15" ht="24.75" customHeight="1" thickBot="1" x14ac:dyDescent="0.25">
      <c r="A144" s="1084"/>
      <c r="B144" s="1085"/>
      <c r="C144" s="152" t="s">
        <v>48</v>
      </c>
      <c r="D144" s="152" t="s">
        <v>519</v>
      </c>
      <c r="E144" s="152" t="s">
        <v>387</v>
      </c>
      <c r="F144" s="572" t="s">
        <v>520</v>
      </c>
    </row>
    <row r="145" spans="1:11" ht="12.75" customHeight="1" x14ac:dyDescent="0.2">
      <c r="A145" s="484" t="s">
        <v>193</v>
      </c>
      <c r="B145" s="491" t="s">
        <v>282</v>
      </c>
      <c r="C145" s="407">
        <v>0</v>
      </c>
      <c r="D145" s="486">
        <f>F145-C145</f>
        <v>0</v>
      </c>
      <c r="E145" s="204"/>
      <c r="F145" s="176">
        <v>0</v>
      </c>
    </row>
    <row r="146" spans="1:11" ht="12.75" customHeight="1" x14ac:dyDescent="0.2">
      <c r="A146" s="484" t="s">
        <v>199</v>
      </c>
      <c r="B146" s="491" t="s">
        <v>200</v>
      </c>
      <c r="C146" s="407">
        <v>0</v>
      </c>
      <c r="D146" s="766">
        <f>F146-C146</f>
        <v>0</v>
      </c>
      <c r="E146" s="204"/>
      <c r="F146" s="176">
        <v>0</v>
      </c>
    </row>
    <row r="147" spans="1:11" ht="12.75" customHeight="1" x14ac:dyDescent="0.2">
      <c r="A147" s="484" t="s">
        <v>255</v>
      </c>
      <c r="B147" s="491" t="s">
        <v>256</v>
      </c>
      <c r="C147" s="407">
        <v>6846623</v>
      </c>
      <c r="D147" s="766">
        <f>F147-C147</f>
        <v>-230994</v>
      </c>
      <c r="E147" s="204">
        <f>F147/C147*100</f>
        <v>96.626161539783922</v>
      </c>
      <c r="F147" s="174">
        <f>'Kiadások részletes COFOG'!F250</f>
        <v>6615629</v>
      </c>
    </row>
    <row r="148" spans="1:11" ht="21.75" customHeight="1" thickBot="1" x14ac:dyDescent="0.25">
      <c r="A148" s="488" t="s">
        <v>257</v>
      </c>
      <c r="B148" s="95" t="s">
        <v>279</v>
      </c>
      <c r="C148" s="531">
        <v>1848588</v>
      </c>
      <c r="D148" s="766">
        <f>F148-C148</f>
        <v>-62368</v>
      </c>
      <c r="E148" s="204">
        <f>F148/C148*100</f>
        <v>96.62618171274508</v>
      </c>
      <c r="F148" s="175">
        <f>'Kiadások részletes COFOG'!F251</f>
        <v>1786220</v>
      </c>
    </row>
    <row r="149" spans="1:11" ht="21" customHeight="1" thickBot="1" x14ac:dyDescent="0.25">
      <c r="A149" s="1083" t="s">
        <v>281</v>
      </c>
      <c r="B149" s="1083"/>
      <c r="C149" s="532">
        <f>SUM(C145:C148)</f>
        <v>8695211</v>
      </c>
      <c r="D149" s="96">
        <f>SUM(D145:D148)</f>
        <v>-293362</v>
      </c>
      <c r="E149" s="340">
        <f>F149/C149*100</f>
        <v>96.626165828523312</v>
      </c>
      <c r="F149" s="177">
        <f>SUM(F145:F148)</f>
        <v>8401849</v>
      </c>
    </row>
    <row r="150" spans="1:11" ht="21" customHeight="1" thickBot="1" x14ac:dyDescent="0.25">
      <c r="A150" s="1043" t="s">
        <v>511</v>
      </c>
      <c r="B150" s="1043"/>
      <c r="C150" s="1043"/>
      <c r="D150" s="1043"/>
      <c r="E150" s="1043"/>
      <c r="F150" s="1043"/>
    </row>
    <row r="151" spans="1:11" ht="21" customHeight="1" x14ac:dyDescent="0.2">
      <c r="A151" s="1084" t="s">
        <v>46</v>
      </c>
      <c r="B151" s="1085" t="s">
        <v>47</v>
      </c>
      <c r="C151" s="1079">
        <v>2021</v>
      </c>
      <c r="D151" s="1080"/>
      <c r="E151" s="1080"/>
      <c r="F151" s="573">
        <v>2022</v>
      </c>
    </row>
    <row r="152" spans="1:11" ht="21" customHeight="1" thickBot="1" x14ac:dyDescent="0.25">
      <c r="A152" s="1084"/>
      <c r="B152" s="1085"/>
      <c r="C152" s="152" t="s">
        <v>48</v>
      </c>
      <c r="D152" s="152" t="s">
        <v>519</v>
      </c>
      <c r="E152" s="152" t="s">
        <v>387</v>
      </c>
      <c r="F152" s="572" t="s">
        <v>520</v>
      </c>
    </row>
    <row r="153" spans="1:11" ht="21" customHeight="1" x14ac:dyDescent="0.2">
      <c r="A153" s="619" t="s">
        <v>253</v>
      </c>
      <c r="B153" s="620" t="s">
        <v>254</v>
      </c>
      <c r="C153" s="407">
        <v>0</v>
      </c>
      <c r="D153" s="618">
        <f>F153-C153</f>
        <v>0</v>
      </c>
      <c r="E153" s="204"/>
      <c r="F153" s="174">
        <f>'Kiadások részletes COFOG'!F256</f>
        <v>0</v>
      </c>
    </row>
    <row r="154" spans="1:11" ht="21" customHeight="1" thickBot="1" x14ac:dyDescent="0.25">
      <c r="A154" s="94" t="s">
        <v>257</v>
      </c>
      <c r="B154" s="95" t="s">
        <v>279</v>
      </c>
      <c r="C154" s="531">
        <v>0</v>
      </c>
      <c r="D154" s="766">
        <f>F154-C154</f>
        <v>0</v>
      </c>
      <c r="E154" s="204"/>
      <c r="F154" s="175">
        <f>'Kiadások részletes COFOG'!F260</f>
        <v>0</v>
      </c>
    </row>
    <row r="155" spans="1:11" ht="21" customHeight="1" thickBot="1" x14ac:dyDescent="0.25">
      <c r="A155" s="1083" t="s">
        <v>281</v>
      </c>
      <c r="B155" s="1083"/>
      <c r="C155" s="532">
        <f>SUM(C153:C154)</f>
        <v>0</v>
      </c>
      <c r="D155" s="96">
        <f>SUM(D153:D154)</f>
        <v>0</v>
      </c>
      <c r="E155" s="340"/>
      <c r="F155" s="177">
        <f>SUM(F153:F154)</f>
        <v>0</v>
      </c>
    </row>
    <row r="156" spans="1:11" ht="27" customHeight="1" thickBot="1" x14ac:dyDescent="0.25">
      <c r="A156" s="1043" t="s">
        <v>288</v>
      </c>
      <c r="B156" s="1043"/>
      <c r="C156" s="1043"/>
      <c r="D156" s="1043"/>
      <c r="E156" s="1043"/>
      <c r="F156" s="1043"/>
    </row>
    <row r="157" spans="1:11" ht="21" customHeight="1" thickBot="1" x14ac:dyDescent="0.25">
      <c r="A157" s="1086" t="s">
        <v>46</v>
      </c>
      <c r="B157" s="1087" t="s">
        <v>47</v>
      </c>
      <c r="C157" s="1079">
        <v>2021</v>
      </c>
      <c r="D157" s="1080"/>
      <c r="E157" s="1080"/>
      <c r="F157" s="573">
        <v>2022</v>
      </c>
    </row>
    <row r="158" spans="1:11" ht="24.75" customHeight="1" thickBot="1" x14ac:dyDescent="0.25">
      <c r="A158" s="1095"/>
      <c r="B158" s="1096"/>
      <c r="C158" s="152" t="s">
        <v>48</v>
      </c>
      <c r="D158" s="152" t="s">
        <v>519</v>
      </c>
      <c r="E158" s="152" t="s">
        <v>387</v>
      </c>
      <c r="F158" s="572" t="s">
        <v>520</v>
      </c>
    </row>
    <row r="159" spans="1:11" ht="18" customHeight="1" x14ac:dyDescent="0.2">
      <c r="A159" s="489" t="s">
        <v>170</v>
      </c>
      <c r="B159" s="491" t="s">
        <v>171</v>
      </c>
      <c r="C159" s="388">
        <v>350000</v>
      </c>
      <c r="D159" s="504">
        <f>F159-C159</f>
        <v>0</v>
      </c>
      <c r="E159" s="397">
        <f>F159/C159*100</f>
        <v>100</v>
      </c>
      <c r="F159" s="399">
        <f>'Kiadások részletes COFOG'!F265</f>
        <v>350000</v>
      </c>
    </row>
    <row r="160" spans="1:11" ht="18.75" customHeight="1" x14ac:dyDescent="0.2">
      <c r="A160" s="484" t="s">
        <v>189</v>
      </c>
      <c r="B160" s="491" t="s">
        <v>270</v>
      </c>
      <c r="C160" s="504">
        <v>6060000</v>
      </c>
      <c r="D160" s="766">
        <f>F160-C160</f>
        <v>-1740000</v>
      </c>
      <c r="E160" s="397">
        <f>F160/C160*100</f>
        <v>71.287128712871279</v>
      </c>
      <c r="F160" s="110">
        <f>'Kiadások részletes COFOG'!F266</f>
        <v>4320000</v>
      </c>
      <c r="K160" s="80"/>
    </row>
    <row r="161" spans="1:11" ht="18.75" customHeight="1" x14ac:dyDescent="0.2">
      <c r="A161" s="94" t="s">
        <v>199</v>
      </c>
      <c r="B161" s="95" t="s">
        <v>200</v>
      </c>
      <c r="C161" s="306">
        <v>700000</v>
      </c>
      <c r="D161" s="766">
        <f>F161-C161</f>
        <v>0</v>
      </c>
      <c r="E161" s="397">
        <f>F161/C161*100</f>
        <v>100</v>
      </c>
      <c r="F161" s="99">
        <f>'Kiadások részletes COFOG'!F267</f>
        <v>700000</v>
      </c>
      <c r="K161" s="80"/>
    </row>
    <row r="162" spans="1:11" ht="24" customHeight="1" thickBot="1" x14ac:dyDescent="0.25">
      <c r="A162" s="488" t="s">
        <v>213</v>
      </c>
      <c r="B162" s="95" t="s">
        <v>273</v>
      </c>
      <c r="C162" s="306">
        <v>1900000</v>
      </c>
      <c r="D162" s="766">
        <f>F162-C162</f>
        <v>-400000</v>
      </c>
      <c r="E162" s="397">
        <f>F162/C162*100</f>
        <v>78.94736842105263</v>
      </c>
      <c r="F162" s="99">
        <f>'Kiadások részletes COFOG'!F268</f>
        <v>1500000</v>
      </c>
      <c r="H162" s="178"/>
      <c r="I162" s="179"/>
      <c r="J162" s="179"/>
      <c r="K162" s="179"/>
    </row>
    <row r="163" spans="1:11" ht="21" customHeight="1" thickBot="1" x14ac:dyDescent="0.25">
      <c r="A163" s="1083" t="s">
        <v>281</v>
      </c>
      <c r="B163" s="1083"/>
      <c r="C163" s="96">
        <f>SUM(C159:C162)</f>
        <v>9010000</v>
      </c>
      <c r="D163" s="96">
        <f>SUM(D159:D162)</f>
        <v>-2140000</v>
      </c>
      <c r="E163" s="398">
        <f>F163/C163*100</f>
        <v>76.248612652608216</v>
      </c>
      <c r="F163" s="97">
        <f>SUM(F159:F162)</f>
        <v>6870000</v>
      </c>
    </row>
    <row r="164" spans="1:11" ht="25.5" customHeight="1" thickBot="1" x14ac:dyDescent="0.25">
      <c r="A164" s="1043" t="s">
        <v>289</v>
      </c>
      <c r="B164" s="1043"/>
      <c r="C164" s="1043"/>
      <c r="D164" s="1043"/>
      <c r="E164" s="1043"/>
      <c r="F164" s="1043"/>
    </row>
    <row r="165" spans="1:11" ht="21.75" customHeight="1" thickBot="1" x14ac:dyDescent="0.25">
      <c r="A165" s="1086" t="s">
        <v>46</v>
      </c>
      <c r="B165" s="1087" t="s">
        <v>47</v>
      </c>
      <c r="C165" s="1079">
        <v>2021</v>
      </c>
      <c r="D165" s="1080"/>
      <c r="E165" s="1080"/>
      <c r="F165" s="573">
        <v>2022</v>
      </c>
    </row>
    <row r="166" spans="1:11" ht="27.75" customHeight="1" thickBot="1" x14ac:dyDescent="0.25">
      <c r="A166" s="1086"/>
      <c r="B166" s="1087"/>
      <c r="C166" s="152" t="s">
        <v>48</v>
      </c>
      <c r="D166" s="152" t="s">
        <v>519</v>
      </c>
      <c r="E166" s="152" t="s">
        <v>387</v>
      </c>
      <c r="F166" s="572" t="s">
        <v>520</v>
      </c>
      <c r="J166" s="179"/>
    </row>
    <row r="167" spans="1:11" ht="15" customHeight="1" x14ac:dyDescent="0.2">
      <c r="A167" s="484" t="s">
        <v>144</v>
      </c>
      <c r="B167" s="491" t="s">
        <v>145</v>
      </c>
      <c r="C167" s="504">
        <v>5230000</v>
      </c>
      <c r="D167" s="486">
        <f>F167-C167</f>
        <v>-1810000</v>
      </c>
      <c r="E167" s="204">
        <f>F167/C167*100</f>
        <v>65.391969407265776</v>
      </c>
      <c r="F167" s="110">
        <f>'Kiadások részletes COFOG'!F276</f>
        <v>3420000</v>
      </c>
      <c r="G167" s="159"/>
    </row>
    <row r="168" spans="1:11" ht="15" customHeight="1" x14ac:dyDescent="0.2">
      <c r="A168" s="489" t="s">
        <v>291</v>
      </c>
      <c r="B168" s="491" t="s">
        <v>292</v>
      </c>
      <c r="C168" s="504">
        <v>0</v>
      </c>
      <c r="D168" s="766">
        <f>F168-C168</f>
        <v>0</v>
      </c>
      <c r="E168" s="204">
        <v>0</v>
      </c>
      <c r="F168" s="110">
        <f>'Kiadások részletes COFOG'!F277</f>
        <v>0</v>
      </c>
    </row>
    <row r="169" spans="1:11" ht="15" customHeight="1" x14ac:dyDescent="0.2">
      <c r="A169" s="765" t="s">
        <v>430</v>
      </c>
      <c r="B169" s="764" t="s">
        <v>636</v>
      </c>
      <c r="C169" s="766">
        <v>200000</v>
      </c>
      <c r="D169" s="892">
        <f>F169-C169</f>
        <v>-100000</v>
      </c>
      <c r="E169" s="204"/>
      <c r="F169" s="110">
        <f>('Kiadások részletes COFOG'!F278)</f>
        <v>100000</v>
      </c>
    </row>
    <row r="170" spans="1:11" ht="15" customHeight="1" x14ac:dyDescent="0.2">
      <c r="A170" s="489" t="s">
        <v>148</v>
      </c>
      <c r="B170" s="491" t="s">
        <v>149</v>
      </c>
      <c r="C170" s="504">
        <v>24000</v>
      </c>
      <c r="D170" s="766">
        <f t="shared" ref="D170:D188" si="18">F170-C170</f>
        <v>-12000</v>
      </c>
      <c r="E170" s="204">
        <f>F170/C170*100</f>
        <v>50</v>
      </c>
      <c r="F170" s="110">
        <f>'Kiadások részletes COFOG'!F280</f>
        <v>12000</v>
      </c>
    </row>
    <row r="171" spans="1:11" ht="15" customHeight="1" x14ac:dyDescent="0.2">
      <c r="A171" s="489" t="s">
        <v>150</v>
      </c>
      <c r="B171" s="491" t="s">
        <v>151</v>
      </c>
      <c r="C171" s="504">
        <v>196000</v>
      </c>
      <c r="D171" s="766">
        <f t="shared" si="18"/>
        <v>4000</v>
      </c>
      <c r="E171" s="204">
        <f>F171/C171*100</f>
        <v>102.04081632653062</v>
      </c>
      <c r="F171" s="110">
        <f>'Kiadások részletes COFOG'!F281</f>
        <v>200000</v>
      </c>
    </row>
    <row r="172" spans="1:11" ht="15" customHeight="1" x14ac:dyDescent="0.2">
      <c r="A172" s="484" t="s">
        <v>158</v>
      </c>
      <c r="B172" s="491" t="s">
        <v>159</v>
      </c>
      <c r="C172" s="504">
        <v>880000</v>
      </c>
      <c r="D172" s="766">
        <f t="shared" si="18"/>
        <v>-60000</v>
      </c>
      <c r="E172" s="204">
        <f>F172/C172*100</f>
        <v>93.181818181818173</v>
      </c>
      <c r="F172" s="110">
        <f>'Kiadások részletes COFOG'!F288</f>
        <v>820000</v>
      </c>
      <c r="K172" s="158"/>
    </row>
    <row r="173" spans="1:11" ht="15" customHeight="1" x14ac:dyDescent="0.2">
      <c r="A173" s="484" t="s">
        <v>164</v>
      </c>
      <c r="B173" s="491" t="s">
        <v>163</v>
      </c>
      <c r="C173" s="504">
        <v>0</v>
      </c>
      <c r="D173" s="766">
        <f t="shared" si="18"/>
        <v>0</v>
      </c>
      <c r="E173" s="204">
        <v>0</v>
      </c>
      <c r="F173" s="110">
        <f>'Kiadások részletes COFOG'!F291</f>
        <v>0</v>
      </c>
    </row>
    <row r="174" spans="1:11" ht="15" customHeight="1" x14ac:dyDescent="0.2">
      <c r="A174" s="484" t="s">
        <v>170</v>
      </c>
      <c r="B174" s="491" t="s">
        <v>171</v>
      </c>
      <c r="C174" s="504">
        <v>2500000</v>
      </c>
      <c r="D174" s="766">
        <f t="shared" si="18"/>
        <v>0</v>
      </c>
      <c r="E174" s="204">
        <f>F174/C174*100</f>
        <v>100</v>
      </c>
      <c r="F174" s="110">
        <f>'Kiadások részletes COFOG'!F292</f>
        <v>2500000</v>
      </c>
    </row>
    <row r="175" spans="1:11" ht="15" customHeight="1" x14ac:dyDescent="0.2">
      <c r="A175" s="945" t="s">
        <v>432</v>
      </c>
      <c r="B175" s="944" t="s">
        <v>323</v>
      </c>
      <c r="C175" s="946">
        <v>0</v>
      </c>
      <c r="D175" s="946">
        <f t="shared" si="18"/>
        <v>165600</v>
      </c>
      <c r="E175" s="204">
        <v>0</v>
      </c>
      <c r="F175" s="110">
        <f>SUM('Kiadások részletes COFOG'!F298)</f>
        <v>165600</v>
      </c>
    </row>
    <row r="176" spans="1:11" ht="15" customHeight="1" x14ac:dyDescent="0.2">
      <c r="A176" s="489" t="s">
        <v>187</v>
      </c>
      <c r="B176" s="491" t="s">
        <v>290</v>
      </c>
      <c r="C176" s="504">
        <v>700000</v>
      </c>
      <c r="D176" s="766">
        <f t="shared" si="18"/>
        <v>-200000</v>
      </c>
      <c r="E176" s="204">
        <f>F176/C176*100</f>
        <v>71.428571428571431</v>
      </c>
      <c r="F176" s="110">
        <f>SUM('Kiadások részletes COFOG'!F300)</f>
        <v>500000</v>
      </c>
    </row>
    <row r="177" spans="1:9" ht="15" customHeight="1" x14ac:dyDescent="0.2">
      <c r="A177" s="484" t="s">
        <v>197</v>
      </c>
      <c r="B177" s="491" t="s">
        <v>198</v>
      </c>
      <c r="C177" s="504">
        <v>0</v>
      </c>
      <c r="D177" s="766">
        <f t="shared" si="18"/>
        <v>0</v>
      </c>
      <c r="E177" s="204">
        <v>0</v>
      </c>
      <c r="F177" s="110">
        <f>'Kiadások részletes COFOG'!F310</f>
        <v>0</v>
      </c>
    </row>
    <row r="178" spans="1:9" ht="15" customHeight="1" x14ac:dyDescent="0.2">
      <c r="A178" s="484" t="s">
        <v>199</v>
      </c>
      <c r="B178" s="491" t="s">
        <v>200</v>
      </c>
      <c r="C178" s="504">
        <v>550000</v>
      </c>
      <c r="D178" s="766">
        <f t="shared" si="18"/>
        <v>200000</v>
      </c>
      <c r="E178" s="204">
        <f>F178/C178*100</f>
        <v>136.36363636363635</v>
      </c>
      <c r="F178" s="110">
        <f>SUM('Kiadások részletes COFOG'!F311)</f>
        <v>750000</v>
      </c>
    </row>
    <row r="179" spans="1:9" ht="15" customHeight="1" x14ac:dyDescent="0.2">
      <c r="A179" s="484" t="s">
        <v>203</v>
      </c>
      <c r="B179" s="491" t="s">
        <v>204</v>
      </c>
      <c r="C179" s="504">
        <v>0</v>
      </c>
      <c r="D179" s="766">
        <f t="shared" si="18"/>
        <v>0</v>
      </c>
      <c r="E179" s="204">
        <v>0</v>
      </c>
      <c r="F179" s="110"/>
    </row>
    <row r="180" spans="1:9" ht="15" customHeight="1" x14ac:dyDescent="0.2">
      <c r="A180" s="484" t="s">
        <v>205</v>
      </c>
      <c r="B180" s="491" t="s">
        <v>206</v>
      </c>
      <c r="C180" s="504">
        <v>2000000</v>
      </c>
      <c r="D180" s="766">
        <f t="shared" si="18"/>
        <v>0</v>
      </c>
      <c r="E180" s="204">
        <f>F180/C180*100</f>
        <v>100</v>
      </c>
      <c r="F180" s="110">
        <f>SUM('Kiadások részletes COFOG'!F315)</f>
        <v>2000000</v>
      </c>
    </row>
    <row r="181" spans="1:9" ht="15" customHeight="1" x14ac:dyDescent="0.2">
      <c r="A181" s="484" t="s">
        <v>211</v>
      </c>
      <c r="B181" s="491" t="s">
        <v>212</v>
      </c>
      <c r="C181" s="504">
        <v>0</v>
      </c>
      <c r="D181" s="766">
        <f t="shared" si="18"/>
        <v>0</v>
      </c>
      <c r="E181" s="204">
        <v>0</v>
      </c>
      <c r="F181" s="110"/>
    </row>
    <row r="182" spans="1:9" ht="21" x14ac:dyDescent="0.2">
      <c r="A182" s="484" t="s">
        <v>213</v>
      </c>
      <c r="B182" s="491" t="s">
        <v>273</v>
      </c>
      <c r="C182" s="504">
        <v>921000</v>
      </c>
      <c r="D182" s="766">
        <f t="shared" si="18"/>
        <v>479000</v>
      </c>
      <c r="E182" s="204">
        <f t="shared" ref="E182:E185" si="19">F182/C182*100</f>
        <v>152.0086862106406</v>
      </c>
      <c r="F182" s="110">
        <f>'Kiadások részletes COFOG'!F321</f>
        <v>1400000</v>
      </c>
      <c r="I182" s="158"/>
    </row>
    <row r="183" spans="1:9" ht="18" customHeight="1" x14ac:dyDescent="0.2">
      <c r="A183" s="489" t="s">
        <v>217</v>
      </c>
      <c r="B183" s="491" t="s">
        <v>218</v>
      </c>
      <c r="C183" s="504">
        <v>0</v>
      </c>
      <c r="D183" s="766">
        <f t="shared" si="18"/>
        <v>0</v>
      </c>
      <c r="E183" s="204">
        <v>0</v>
      </c>
      <c r="F183" s="110">
        <f>'Kiadások részletes COFOG'!F322</f>
        <v>0</v>
      </c>
      <c r="I183" s="158"/>
    </row>
    <row r="184" spans="1:9" ht="19.5" customHeight="1" x14ac:dyDescent="0.2">
      <c r="A184" s="484" t="s">
        <v>249</v>
      </c>
      <c r="B184" s="491" t="s">
        <v>250</v>
      </c>
      <c r="C184" s="504">
        <v>100000</v>
      </c>
      <c r="D184" s="766">
        <f t="shared" si="18"/>
        <v>140000</v>
      </c>
      <c r="E184" s="204">
        <f t="shared" si="19"/>
        <v>240</v>
      </c>
      <c r="F184" s="110">
        <f>'Kiadások részletes COFOG'!F325</f>
        <v>240000</v>
      </c>
    </row>
    <row r="185" spans="1:9" ht="22.5" customHeight="1" x14ac:dyDescent="0.2">
      <c r="A185" s="488" t="s">
        <v>251</v>
      </c>
      <c r="B185" s="95" t="s">
        <v>278</v>
      </c>
      <c r="C185" s="306">
        <v>27000</v>
      </c>
      <c r="D185" s="766">
        <f t="shared" si="18"/>
        <v>38000</v>
      </c>
      <c r="E185" s="204">
        <f t="shared" si="19"/>
        <v>240.74074074074073</v>
      </c>
      <c r="F185" s="99">
        <f>'Kiadások részletes COFOG'!F326</f>
        <v>65000</v>
      </c>
    </row>
    <row r="186" spans="1:9" ht="21.75" customHeight="1" x14ac:dyDescent="0.2">
      <c r="A186" s="94" t="s">
        <v>253</v>
      </c>
      <c r="B186" s="162" t="s">
        <v>423</v>
      </c>
      <c r="C186" s="306">
        <v>0</v>
      </c>
      <c r="D186" s="766">
        <f t="shared" si="18"/>
        <v>0</v>
      </c>
      <c r="E186" s="204">
        <v>0</v>
      </c>
      <c r="F186" s="99">
        <f>'Kiadások részletes COFOG'!F327</f>
        <v>0</v>
      </c>
    </row>
    <row r="187" spans="1:9" ht="21.75" customHeight="1" x14ac:dyDescent="0.2">
      <c r="A187" s="94" t="s">
        <v>257</v>
      </c>
      <c r="B187" s="162" t="s">
        <v>279</v>
      </c>
      <c r="C187" s="306">
        <v>0</v>
      </c>
      <c r="D187" s="766">
        <f t="shared" si="18"/>
        <v>0</v>
      </c>
      <c r="E187" s="204">
        <v>0</v>
      </c>
      <c r="F187" s="99">
        <f>'Kiadások részletes COFOG'!F328</f>
        <v>0</v>
      </c>
    </row>
    <row r="188" spans="1:9" ht="30" customHeight="1" thickBot="1" x14ac:dyDescent="0.25">
      <c r="A188" s="107" t="s">
        <v>426</v>
      </c>
      <c r="B188" s="396" t="s">
        <v>427</v>
      </c>
      <c r="C188" s="370">
        <v>0</v>
      </c>
      <c r="D188" s="766">
        <f t="shared" si="18"/>
        <v>0</v>
      </c>
      <c r="E188" s="204">
        <v>0</v>
      </c>
      <c r="F188" s="182">
        <f>'Kiadások részletes COFOG'!F329</f>
        <v>0</v>
      </c>
    </row>
    <row r="189" spans="1:9" ht="23.25" customHeight="1" thickBot="1" x14ac:dyDescent="0.25">
      <c r="A189" s="1083" t="s">
        <v>281</v>
      </c>
      <c r="B189" s="1083"/>
      <c r="C189" s="96">
        <f>SUM(C167:C188)</f>
        <v>13328000</v>
      </c>
      <c r="D189" s="96">
        <f>SUM(D167:D188)</f>
        <v>-1155400</v>
      </c>
      <c r="E189" s="340">
        <f>F189/C189*100</f>
        <v>91.331032412965186</v>
      </c>
      <c r="F189" s="97">
        <f>SUM(F167:F188)</f>
        <v>12172600</v>
      </c>
    </row>
    <row r="190" spans="1:9" ht="24" customHeight="1" thickBot="1" x14ac:dyDescent="0.25">
      <c r="A190" s="1043" t="s">
        <v>135</v>
      </c>
      <c r="B190" s="1043"/>
      <c r="C190" s="1043"/>
      <c r="D190" s="1043"/>
      <c r="E190" s="1043"/>
      <c r="F190" s="1043"/>
    </row>
    <row r="191" spans="1:9" ht="23.25" customHeight="1" thickBot="1" x14ac:dyDescent="0.25">
      <c r="A191" s="1086" t="s">
        <v>46</v>
      </c>
      <c r="B191" s="1087" t="s">
        <v>47</v>
      </c>
      <c r="C191" s="1079">
        <v>2021</v>
      </c>
      <c r="D191" s="1080"/>
      <c r="E191" s="1080"/>
      <c r="F191" s="573">
        <v>2022</v>
      </c>
    </row>
    <row r="192" spans="1:9" ht="25.5" customHeight="1" thickBot="1" x14ac:dyDescent="0.25">
      <c r="A192" s="1095"/>
      <c r="B192" s="1096"/>
      <c r="C192" s="152" t="s">
        <v>48</v>
      </c>
      <c r="D192" s="152" t="s">
        <v>519</v>
      </c>
      <c r="E192" s="152" t="s">
        <v>387</v>
      </c>
      <c r="F192" s="572" t="s">
        <v>520</v>
      </c>
    </row>
    <row r="193" spans="1:11" ht="15.95" customHeight="1" x14ac:dyDescent="0.2">
      <c r="A193" s="153" t="s">
        <v>142</v>
      </c>
      <c r="B193" s="338" t="s">
        <v>143</v>
      </c>
      <c r="C193" s="405">
        <v>6290220</v>
      </c>
      <c r="D193" s="405">
        <f t="shared" ref="D193:D214" si="20">F193-C193</f>
        <v>1209780</v>
      </c>
      <c r="E193" s="204">
        <f t="shared" ref="E193:E201" si="21">F193/C193*100</f>
        <v>119.23271364117632</v>
      </c>
      <c r="F193" s="406">
        <f>'Kiadások részletes COFOG'!F338</f>
        <v>7500000</v>
      </c>
      <c r="G193" s="159"/>
    </row>
    <row r="194" spans="1:11" ht="15.95" customHeight="1" x14ac:dyDescent="0.2">
      <c r="A194" s="489" t="s">
        <v>428</v>
      </c>
      <c r="B194" s="491" t="s">
        <v>429</v>
      </c>
      <c r="C194" s="115">
        <v>200000</v>
      </c>
      <c r="D194" s="405">
        <f t="shared" si="20"/>
        <v>0</v>
      </c>
      <c r="E194" s="204">
        <f t="shared" si="21"/>
        <v>100</v>
      </c>
      <c r="F194" s="116">
        <f>'Kiadások részletes COFOG'!F339</f>
        <v>200000</v>
      </c>
      <c r="G194" s="159"/>
    </row>
    <row r="195" spans="1:11" ht="15.95" customHeight="1" x14ac:dyDescent="0.2">
      <c r="A195" s="619" t="s">
        <v>549</v>
      </c>
      <c r="B195" s="620" t="s">
        <v>550</v>
      </c>
      <c r="C195" s="115">
        <v>0</v>
      </c>
      <c r="D195" s="405">
        <f t="shared" si="20"/>
        <v>0</v>
      </c>
      <c r="E195" s="204">
        <v>0</v>
      </c>
      <c r="F195" s="116">
        <f>'Kiadások részletes COFOG'!F340</f>
        <v>0</v>
      </c>
      <c r="G195" s="159"/>
    </row>
    <row r="196" spans="1:11" ht="15.95" customHeight="1" x14ac:dyDescent="0.2">
      <c r="A196" s="489" t="s">
        <v>430</v>
      </c>
      <c r="B196" s="491" t="s">
        <v>431</v>
      </c>
      <c r="C196" s="115">
        <v>200000</v>
      </c>
      <c r="D196" s="405">
        <f t="shared" si="20"/>
        <v>0</v>
      </c>
      <c r="E196" s="204">
        <f t="shared" si="21"/>
        <v>100</v>
      </c>
      <c r="F196" s="116">
        <f>'Kiadások részletes COFOG'!F341</f>
        <v>200000</v>
      </c>
      <c r="G196" s="159"/>
    </row>
    <row r="197" spans="1:11" ht="15.95" customHeight="1" x14ac:dyDescent="0.2">
      <c r="A197" s="484" t="s">
        <v>146</v>
      </c>
      <c r="B197" s="491" t="s">
        <v>147</v>
      </c>
      <c r="C197" s="504">
        <v>0</v>
      </c>
      <c r="D197" s="405">
        <f t="shared" si="20"/>
        <v>0</v>
      </c>
      <c r="E197" s="204">
        <v>0</v>
      </c>
      <c r="F197" s="110">
        <f>'Kiadások részletes COFOG'!F342</f>
        <v>0</v>
      </c>
    </row>
    <row r="198" spans="1:11" ht="15.95" customHeight="1" x14ac:dyDescent="0.2">
      <c r="A198" s="484" t="s">
        <v>148</v>
      </c>
      <c r="B198" s="491" t="s">
        <v>149</v>
      </c>
      <c r="C198" s="504">
        <v>12000</v>
      </c>
      <c r="D198" s="405">
        <f t="shared" si="20"/>
        <v>0</v>
      </c>
      <c r="E198" s="204">
        <f t="shared" si="21"/>
        <v>100</v>
      </c>
      <c r="F198" s="110">
        <f>'Kiadások részletes COFOG'!F343</f>
        <v>12000</v>
      </c>
      <c r="K198" s="158"/>
    </row>
    <row r="199" spans="1:11" s="181" customFormat="1" ht="18" customHeight="1" x14ac:dyDescent="0.2">
      <c r="A199" s="489" t="s">
        <v>293</v>
      </c>
      <c r="B199" s="180" t="s">
        <v>151</v>
      </c>
      <c r="C199" s="407">
        <v>48000</v>
      </c>
      <c r="D199" s="405">
        <f t="shared" si="20"/>
        <v>330000</v>
      </c>
      <c r="E199" s="204">
        <f t="shared" si="21"/>
        <v>787.5</v>
      </c>
      <c r="F199" s="110">
        <f>'Kiadások részletes COFOG'!F344</f>
        <v>378000</v>
      </c>
    </row>
    <row r="200" spans="1:11" ht="21" customHeight="1" x14ac:dyDescent="0.2">
      <c r="A200" s="484" t="s">
        <v>154</v>
      </c>
      <c r="B200" s="491" t="s">
        <v>155</v>
      </c>
      <c r="C200" s="504">
        <v>840000</v>
      </c>
      <c r="D200" s="405">
        <f t="shared" si="20"/>
        <v>110000</v>
      </c>
      <c r="E200" s="204">
        <f t="shared" si="21"/>
        <v>113.09523809523809</v>
      </c>
      <c r="F200" s="110">
        <f>'Kiadások részletes COFOG'!F347</f>
        <v>950000</v>
      </c>
      <c r="K200" s="80"/>
    </row>
    <row r="201" spans="1:11" ht="15.95" customHeight="1" x14ac:dyDescent="0.2">
      <c r="A201" s="484" t="s">
        <v>158</v>
      </c>
      <c r="B201" s="491" t="s">
        <v>666</v>
      </c>
      <c r="C201" s="504">
        <v>1780000</v>
      </c>
      <c r="D201" s="405">
        <f t="shared" si="20"/>
        <v>-480000</v>
      </c>
      <c r="E201" s="204">
        <f t="shared" si="21"/>
        <v>73.033707865168537</v>
      </c>
      <c r="F201" s="110">
        <f>'Kiadások részletes COFOG'!F354</f>
        <v>1300000</v>
      </c>
    </row>
    <row r="202" spans="1:11" ht="15.95" customHeight="1" x14ac:dyDescent="0.2">
      <c r="A202" s="484" t="s">
        <v>164</v>
      </c>
      <c r="B202" s="491" t="s">
        <v>163</v>
      </c>
      <c r="C202" s="504">
        <v>60000</v>
      </c>
      <c r="D202" s="405">
        <f t="shared" si="20"/>
        <v>-10000</v>
      </c>
      <c r="E202" s="204">
        <f t="shared" ref="E202:E212" si="22">F202/C202*100</f>
        <v>83.333333333333343</v>
      </c>
      <c r="F202" s="110">
        <f>'Kiadások részletes COFOG'!F355</f>
        <v>50000</v>
      </c>
    </row>
    <row r="203" spans="1:11" ht="15.95" customHeight="1" x14ac:dyDescent="0.2">
      <c r="A203" s="484" t="s">
        <v>170</v>
      </c>
      <c r="B203" s="491" t="s">
        <v>171</v>
      </c>
      <c r="C203" s="504">
        <v>200000</v>
      </c>
      <c r="D203" s="405">
        <f t="shared" si="20"/>
        <v>-50000</v>
      </c>
      <c r="E203" s="204">
        <f t="shared" si="22"/>
        <v>75</v>
      </c>
      <c r="F203" s="110">
        <f>'Kiadások részletes COFOG'!F356</f>
        <v>150000</v>
      </c>
    </row>
    <row r="204" spans="1:11" ht="15.95" customHeight="1" x14ac:dyDescent="0.2">
      <c r="A204" s="489" t="s">
        <v>432</v>
      </c>
      <c r="B204" s="491" t="s">
        <v>397</v>
      </c>
      <c r="C204" s="504">
        <v>90000</v>
      </c>
      <c r="D204" s="405">
        <f t="shared" si="20"/>
        <v>-7200</v>
      </c>
      <c r="E204" s="204">
        <f t="shared" si="22"/>
        <v>92</v>
      </c>
      <c r="F204" s="110">
        <f>'Kiadások részletes COFOG'!F359</f>
        <v>82800</v>
      </c>
    </row>
    <row r="205" spans="1:11" ht="15.95" customHeight="1" x14ac:dyDescent="0.2">
      <c r="A205" s="484" t="s">
        <v>185</v>
      </c>
      <c r="B205" s="491" t="s">
        <v>433</v>
      </c>
      <c r="C205" s="504">
        <v>150000</v>
      </c>
      <c r="D205" s="405">
        <f t="shared" si="20"/>
        <v>21600</v>
      </c>
      <c r="E205" s="204">
        <f t="shared" si="22"/>
        <v>114.39999999999999</v>
      </c>
      <c r="F205" s="110">
        <f>'Kiadások részletes COFOG'!F361</f>
        <v>171600</v>
      </c>
    </row>
    <row r="206" spans="1:11" ht="15.95" customHeight="1" x14ac:dyDescent="0.2">
      <c r="A206" s="484" t="s">
        <v>199</v>
      </c>
      <c r="B206" s="491" t="s">
        <v>200</v>
      </c>
      <c r="C206" s="504">
        <v>50000</v>
      </c>
      <c r="D206" s="405">
        <f t="shared" si="20"/>
        <v>0</v>
      </c>
      <c r="E206" s="204">
        <f t="shared" si="22"/>
        <v>100</v>
      </c>
      <c r="F206" s="110">
        <f>'Kiadások részletes COFOG'!F363</f>
        <v>50000</v>
      </c>
    </row>
    <row r="207" spans="1:11" ht="19.5" customHeight="1" x14ac:dyDescent="0.2">
      <c r="A207" s="484" t="s">
        <v>201</v>
      </c>
      <c r="B207" s="491" t="s">
        <v>202</v>
      </c>
      <c r="C207" s="504">
        <v>150000</v>
      </c>
      <c r="D207" s="405">
        <f t="shared" si="20"/>
        <v>-40000</v>
      </c>
      <c r="E207" s="204">
        <f t="shared" si="22"/>
        <v>73.333333333333329</v>
      </c>
      <c r="F207" s="110">
        <f>SUM('Kiadások részletes COFOG'!F364)</f>
        <v>110000</v>
      </c>
    </row>
    <row r="208" spans="1:11" ht="15.95" customHeight="1" x14ac:dyDescent="0.2">
      <c r="A208" s="489" t="s">
        <v>205</v>
      </c>
      <c r="B208" s="491" t="s">
        <v>206</v>
      </c>
      <c r="C208" s="504">
        <v>20000</v>
      </c>
      <c r="D208" s="405">
        <f t="shared" si="20"/>
        <v>0</v>
      </c>
      <c r="E208" s="204">
        <f t="shared" si="22"/>
        <v>100</v>
      </c>
      <c r="F208" s="110">
        <f>SUM('Kiadások részletes COFOG'!F367)</f>
        <v>20000</v>
      </c>
    </row>
    <row r="209" spans="1:6" ht="15.95" customHeight="1" x14ac:dyDescent="0.2">
      <c r="A209" s="489" t="s">
        <v>294</v>
      </c>
      <c r="B209" s="491" t="s">
        <v>295</v>
      </c>
      <c r="C209" s="504">
        <v>50000</v>
      </c>
      <c r="D209" s="405">
        <f t="shared" si="20"/>
        <v>0</v>
      </c>
      <c r="E209" s="204">
        <f t="shared" si="22"/>
        <v>100</v>
      </c>
      <c r="F209" s="110">
        <f>'Kiadások részletes COFOG'!F368</f>
        <v>50000</v>
      </c>
    </row>
    <row r="210" spans="1:6" ht="21.75" customHeight="1" x14ac:dyDescent="0.2">
      <c r="A210" s="484" t="s">
        <v>213</v>
      </c>
      <c r="B210" s="491" t="s">
        <v>273</v>
      </c>
      <c r="C210" s="504">
        <v>195000</v>
      </c>
      <c r="D210" s="405">
        <f t="shared" si="20"/>
        <v>-80000</v>
      </c>
      <c r="E210" s="204">
        <f t="shared" si="22"/>
        <v>58.974358974358978</v>
      </c>
      <c r="F210" s="110">
        <f>'Kiadások részletes COFOG'!F369</f>
        <v>115000</v>
      </c>
    </row>
    <row r="211" spans="1:6" ht="21.75" customHeight="1" x14ac:dyDescent="0.2">
      <c r="A211" s="503" t="s">
        <v>249</v>
      </c>
      <c r="B211" s="499" t="s">
        <v>491</v>
      </c>
      <c r="C211" s="504">
        <v>20000</v>
      </c>
      <c r="D211" s="405">
        <f t="shared" si="20"/>
        <v>-20000</v>
      </c>
      <c r="E211" s="204">
        <f t="shared" si="22"/>
        <v>0</v>
      </c>
      <c r="F211" s="110">
        <f>'Kiadások részletes COFOG'!F372</f>
        <v>0</v>
      </c>
    </row>
    <row r="212" spans="1:6" ht="21.75" customHeight="1" x14ac:dyDescent="0.2">
      <c r="A212" s="503" t="s">
        <v>251</v>
      </c>
      <c r="B212" s="499" t="s">
        <v>278</v>
      </c>
      <c r="C212" s="504">
        <v>5400</v>
      </c>
      <c r="D212" s="405">
        <f t="shared" si="20"/>
        <v>-5400</v>
      </c>
      <c r="E212" s="204">
        <f t="shared" si="22"/>
        <v>0</v>
      </c>
      <c r="F212" s="110">
        <f>'Kiadások részletes COFOG'!F373</f>
        <v>0</v>
      </c>
    </row>
    <row r="213" spans="1:6" ht="21.75" customHeight="1" x14ac:dyDescent="0.2">
      <c r="A213" s="503" t="s">
        <v>253</v>
      </c>
      <c r="B213" s="499" t="s">
        <v>516</v>
      </c>
      <c r="C213" s="504">
        <v>0</v>
      </c>
      <c r="D213" s="405">
        <f t="shared" si="20"/>
        <v>0</v>
      </c>
      <c r="E213" s="204">
        <v>0</v>
      </c>
      <c r="F213" s="110">
        <f>'Kiadások részletes COFOG'!F374</f>
        <v>0</v>
      </c>
    </row>
    <row r="214" spans="1:6" ht="21.75" customHeight="1" thickBot="1" x14ac:dyDescent="0.25">
      <c r="A214" s="409" t="s">
        <v>257</v>
      </c>
      <c r="B214" s="548" t="s">
        <v>279</v>
      </c>
      <c r="C214" s="465">
        <v>0</v>
      </c>
      <c r="D214" s="405">
        <f t="shared" si="20"/>
        <v>0</v>
      </c>
      <c r="E214" s="204">
        <v>0</v>
      </c>
      <c r="F214" s="466">
        <f>'Kiadások részletes COFOG'!F375</f>
        <v>0</v>
      </c>
    </row>
    <row r="215" spans="1:6" ht="21.75" customHeight="1" thickBot="1" x14ac:dyDescent="0.25">
      <c r="A215" s="1093" t="s">
        <v>281</v>
      </c>
      <c r="B215" s="1093"/>
      <c r="C215" s="383">
        <f>SUM(C193:C214)</f>
        <v>10360620</v>
      </c>
      <c r="D215" s="383">
        <f>SUM(D193:D214)</f>
        <v>978780</v>
      </c>
      <c r="E215" s="384">
        <f>F215/C215*100</f>
        <v>109.44711802961599</v>
      </c>
      <c r="F215" s="385">
        <f>SUM(F193:F214)</f>
        <v>11339400</v>
      </c>
    </row>
    <row r="216" spans="1:6" ht="21.75" customHeight="1" thickBot="1" x14ac:dyDescent="0.25">
      <c r="A216" s="1089" t="s">
        <v>434</v>
      </c>
      <c r="B216" s="1090"/>
      <c r="C216" s="1090"/>
      <c r="D216" s="1090"/>
      <c r="E216" s="1090"/>
      <c r="F216" s="1091"/>
    </row>
    <row r="217" spans="1:6" ht="21.75" customHeight="1" thickBot="1" x14ac:dyDescent="0.25">
      <c r="A217" s="1086" t="s">
        <v>46</v>
      </c>
      <c r="B217" s="1087" t="s">
        <v>47</v>
      </c>
      <c r="C217" s="1079">
        <v>2021</v>
      </c>
      <c r="D217" s="1080"/>
      <c r="E217" s="1080"/>
      <c r="F217" s="573">
        <v>2022</v>
      </c>
    </row>
    <row r="218" spans="1:6" ht="21.75" customHeight="1" thickBot="1" x14ac:dyDescent="0.25">
      <c r="A218" s="1086"/>
      <c r="B218" s="1087"/>
      <c r="C218" s="152" t="s">
        <v>48</v>
      </c>
      <c r="D218" s="152" t="s">
        <v>519</v>
      </c>
      <c r="E218" s="152" t="s">
        <v>387</v>
      </c>
      <c r="F218" s="572" t="s">
        <v>520</v>
      </c>
    </row>
    <row r="219" spans="1:6" ht="21.75" customHeight="1" thickBot="1" x14ac:dyDescent="0.25">
      <c r="A219" s="489" t="s">
        <v>201</v>
      </c>
      <c r="B219" s="491" t="s">
        <v>202</v>
      </c>
      <c r="C219" s="504">
        <v>90000</v>
      </c>
      <c r="D219" s="486">
        <f>F219-C219</f>
        <v>6000</v>
      </c>
      <c r="E219" s="342">
        <f>F219/C219*100</f>
        <v>106.66666666666667</v>
      </c>
      <c r="F219" s="110">
        <f>'Kiadások részletes COFOG'!F380</f>
        <v>96000</v>
      </c>
    </row>
    <row r="220" spans="1:6" ht="21.75" customHeight="1" thickBot="1" x14ac:dyDescent="0.25">
      <c r="A220" s="1083" t="s">
        <v>281</v>
      </c>
      <c r="B220" s="1083"/>
      <c r="C220" s="96">
        <f>SUM(C219:C219)</f>
        <v>90000</v>
      </c>
      <c r="D220" s="96">
        <f>D219</f>
        <v>6000</v>
      </c>
      <c r="E220" s="340">
        <f>F220/C220*100</f>
        <v>106.66666666666667</v>
      </c>
      <c r="F220" s="97">
        <f>SUM(F219:F219)</f>
        <v>96000</v>
      </c>
    </row>
    <row r="221" spans="1:6" ht="21.75" customHeight="1" thickBot="1" x14ac:dyDescent="0.25">
      <c r="A221" s="1089" t="s">
        <v>637</v>
      </c>
      <c r="B221" s="1090"/>
      <c r="C221" s="1090"/>
      <c r="D221" s="1090"/>
      <c r="E221" s="1090"/>
      <c r="F221" s="1090"/>
    </row>
    <row r="222" spans="1:6" ht="21.75" customHeight="1" thickBot="1" x14ac:dyDescent="0.25">
      <c r="A222" s="1086" t="s">
        <v>46</v>
      </c>
      <c r="B222" s="1087" t="s">
        <v>47</v>
      </c>
      <c r="C222" s="1079">
        <v>2021</v>
      </c>
      <c r="D222" s="1080"/>
      <c r="E222" s="1080"/>
      <c r="F222" s="573">
        <v>2022</v>
      </c>
    </row>
    <row r="223" spans="1:6" ht="21.75" customHeight="1" thickBot="1" x14ac:dyDescent="0.25">
      <c r="A223" s="1086"/>
      <c r="B223" s="1087"/>
      <c r="C223" s="152" t="s">
        <v>48</v>
      </c>
      <c r="D223" s="152" t="s">
        <v>519</v>
      </c>
      <c r="E223" s="152" t="s">
        <v>387</v>
      </c>
      <c r="F223" s="572" t="s">
        <v>520</v>
      </c>
    </row>
    <row r="224" spans="1:6" ht="21.75" customHeight="1" x14ac:dyDescent="0.2">
      <c r="A224" s="763" t="s">
        <v>170</v>
      </c>
      <c r="B224" s="338" t="s">
        <v>171</v>
      </c>
      <c r="C224" s="767">
        <v>0</v>
      </c>
      <c r="D224" s="767">
        <v>0</v>
      </c>
      <c r="E224" s="766">
        <v>0</v>
      </c>
      <c r="F224" s="846">
        <v>0</v>
      </c>
    </row>
    <row r="225" spans="1:14" ht="21.75" customHeight="1" thickBot="1" x14ac:dyDescent="0.25">
      <c r="A225" s="94" t="s">
        <v>213</v>
      </c>
      <c r="B225" s="95" t="s">
        <v>638</v>
      </c>
      <c r="C225" s="306">
        <v>0</v>
      </c>
      <c r="D225" s="306">
        <v>0</v>
      </c>
      <c r="E225" s="306">
        <v>0</v>
      </c>
      <c r="F225" s="847">
        <v>0</v>
      </c>
    </row>
    <row r="226" spans="1:14" ht="21.75" customHeight="1" thickBot="1" x14ac:dyDescent="0.25">
      <c r="A226" s="1083" t="s">
        <v>281</v>
      </c>
      <c r="B226" s="1083"/>
      <c r="C226" s="96">
        <f>SUM(C224:C225)</f>
        <v>0</v>
      </c>
      <c r="D226" s="96">
        <v>0</v>
      </c>
      <c r="E226" s="96">
        <v>0</v>
      </c>
      <c r="F226" s="848">
        <f>SUM(F224:F225)</f>
        <v>0</v>
      </c>
    </row>
    <row r="227" spans="1:14" ht="26.25" customHeight="1" thickBot="1" x14ac:dyDescent="0.25">
      <c r="A227" s="1043" t="s">
        <v>437</v>
      </c>
      <c r="B227" s="1043"/>
      <c r="C227" s="1043"/>
      <c r="D227" s="1043"/>
      <c r="E227" s="1043"/>
      <c r="F227" s="1043"/>
    </row>
    <row r="228" spans="1:14" ht="19.5" customHeight="1" thickBot="1" x14ac:dyDescent="0.25">
      <c r="A228" s="1086" t="s">
        <v>46</v>
      </c>
      <c r="B228" s="1087" t="s">
        <v>47</v>
      </c>
      <c r="C228" s="1079">
        <v>2021</v>
      </c>
      <c r="D228" s="1080"/>
      <c r="E228" s="1080"/>
      <c r="F228" s="573">
        <v>2022</v>
      </c>
    </row>
    <row r="229" spans="1:14" ht="27" customHeight="1" thickBot="1" x14ac:dyDescent="0.25">
      <c r="A229" s="1086"/>
      <c r="B229" s="1087"/>
      <c r="C229" s="152" t="s">
        <v>48</v>
      </c>
      <c r="D229" s="152" t="s">
        <v>519</v>
      </c>
      <c r="E229" s="152" t="s">
        <v>387</v>
      </c>
      <c r="F229" s="572" t="s">
        <v>520</v>
      </c>
    </row>
    <row r="230" spans="1:14" ht="21" x14ac:dyDescent="0.2">
      <c r="A230" s="489" t="s">
        <v>154</v>
      </c>
      <c r="B230" s="491" t="s">
        <v>155</v>
      </c>
      <c r="C230" s="115">
        <v>0</v>
      </c>
      <c r="D230" s="115">
        <f t="shared" ref="D230:D237" si="23">F230-C230</f>
        <v>0</v>
      </c>
      <c r="E230" s="204">
        <v>0</v>
      </c>
      <c r="F230" s="116">
        <f>'Kiadások részletes COFOG'!F385</f>
        <v>0</v>
      </c>
    </row>
    <row r="231" spans="1:14" ht="15.95" customHeight="1" x14ac:dyDescent="0.2">
      <c r="A231" s="489" t="s">
        <v>158</v>
      </c>
      <c r="B231" s="491" t="s">
        <v>159</v>
      </c>
      <c r="C231" s="504">
        <v>0</v>
      </c>
      <c r="D231" s="115">
        <f t="shared" si="23"/>
        <v>0</v>
      </c>
      <c r="E231" s="204">
        <v>0</v>
      </c>
      <c r="F231" s="110">
        <f>'Kiadások részletes COFOG'!F386</f>
        <v>0</v>
      </c>
      <c r="H231" s="161"/>
      <c r="I231" s="39"/>
      <c r="J231" s="39"/>
      <c r="K231" s="39"/>
      <c r="L231" s="39"/>
      <c r="M231" s="39"/>
      <c r="N231" s="39"/>
    </row>
    <row r="232" spans="1:14" ht="15.95" customHeight="1" x14ac:dyDescent="0.2">
      <c r="A232" s="489" t="s">
        <v>160</v>
      </c>
      <c r="B232" s="491" t="s">
        <v>161</v>
      </c>
      <c r="C232" s="504">
        <v>0</v>
      </c>
      <c r="D232" s="115">
        <f t="shared" si="23"/>
        <v>0</v>
      </c>
      <c r="E232" s="204">
        <v>0</v>
      </c>
      <c r="F232" s="110">
        <v>0</v>
      </c>
    </row>
    <row r="233" spans="1:14" ht="15.95" customHeight="1" x14ac:dyDescent="0.2">
      <c r="A233" s="489" t="s">
        <v>170</v>
      </c>
      <c r="B233" s="491" t="s">
        <v>171</v>
      </c>
      <c r="C233" s="504">
        <v>0</v>
      </c>
      <c r="D233" s="115">
        <f t="shared" si="23"/>
        <v>0</v>
      </c>
      <c r="E233" s="204">
        <v>0</v>
      </c>
      <c r="F233" s="110">
        <f>'Kiadások részletes COFOG'!F387</f>
        <v>0</v>
      </c>
      <c r="N233" s="80"/>
    </row>
    <row r="234" spans="1:14" ht="15.95" customHeight="1" x14ac:dyDescent="0.2">
      <c r="A234" s="489" t="s">
        <v>205</v>
      </c>
      <c r="B234" s="491" t="s">
        <v>206</v>
      </c>
      <c r="C234" s="504">
        <v>0</v>
      </c>
      <c r="D234" s="115">
        <f t="shared" si="23"/>
        <v>0</v>
      </c>
      <c r="E234" s="204">
        <v>0</v>
      </c>
      <c r="F234" s="110">
        <f>'Kiadások részletes COFOG'!F388</f>
        <v>0</v>
      </c>
    </row>
    <row r="235" spans="1:14" ht="21" customHeight="1" x14ac:dyDescent="0.2">
      <c r="A235" s="489" t="s">
        <v>213</v>
      </c>
      <c r="B235" s="491" t="s">
        <v>273</v>
      </c>
      <c r="C235" s="504">
        <v>0</v>
      </c>
      <c r="D235" s="115">
        <f t="shared" si="23"/>
        <v>0</v>
      </c>
      <c r="E235" s="204">
        <v>0</v>
      </c>
      <c r="F235" s="110">
        <f>'Kiadások részletes COFOG'!F389</f>
        <v>0</v>
      </c>
      <c r="K235" s="80"/>
    </row>
    <row r="236" spans="1:14" ht="20.25" customHeight="1" x14ac:dyDescent="0.2">
      <c r="A236" s="489" t="s">
        <v>249</v>
      </c>
      <c r="B236" s="490" t="s">
        <v>491</v>
      </c>
      <c r="C236" s="504">
        <v>0</v>
      </c>
      <c r="D236" s="115">
        <f t="shared" si="23"/>
        <v>0</v>
      </c>
      <c r="E236" s="204">
        <v>0</v>
      </c>
      <c r="F236" s="110">
        <f>'Kiadások részletes COFOG'!F390</f>
        <v>0</v>
      </c>
      <c r="K236" s="80"/>
    </row>
    <row r="237" spans="1:14" ht="21" customHeight="1" thickBot="1" x14ac:dyDescent="0.25">
      <c r="A237" s="409" t="s">
        <v>251</v>
      </c>
      <c r="B237" s="390" t="s">
        <v>278</v>
      </c>
      <c r="C237" s="465">
        <v>0</v>
      </c>
      <c r="D237" s="115">
        <f t="shared" si="23"/>
        <v>0</v>
      </c>
      <c r="E237" s="204">
        <v>0</v>
      </c>
      <c r="F237" s="466">
        <f>'Kiadások részletes COFOG'!F392</f>
        <v>0</v>
      </c>
      <c r="K237" s="80"/>
    </row>
    <row r="238" spans="1:14" ht="18.75" customHeight="1" thickBot="1" x14ac:dyDescent="0.25">
      <c r="A238" s="1083" t="s">
        <v>281</v>
      </c>
      <c r="B238" s="1083"/>
      <c r="C238" s="96">
        <f>SUM(C230:C237)</f>
        <v>0</v>
      </c>
      <c r="D238" s="96">
        <f>SUM(D230:D237)</f>
        <v>0</v>
      </c>
      <c r="E238" s="340">
        <v>0</v>
      </c>
      <c r="F238" s="97">
        <f>SUM(F230:F237)</f>
        <v>0</v>
      </c>
    </row>
    <row r="239" spans="1:14" ht="24" customHeight="1" thickBot="1" x14ac:dyDescent="0.25">
      <c r="A239" s="1043" t="s">
        <v>297</v>
      </c>
      <c r="B239" s="1043"/>
      <c r="C239" s="1043"/>
      <c r="D239" s="1043"/>
      <c r="E239" s="1043"/>
      <c r="F239" s="1043"/>
    </row>
    <row r="240" spans="1:14" ht="21" customHeight="1" thickBot="1" x14ac:dyDescent="0.25">
      <c r="A240" s="1086" t="s">
        <v>46</v>
      </c>
      <c r="B240" s="1087" t="s">
        <v>47</v>
      </c>
      <c r="C240" s="1079">
        <v>2021</v>
      </c>
      <c r="D240" s="1080"/>
      <c r="E240" s="1080"/>
      <c r="F240" s="573">
        <v>2022</v>
      </c>
    </row>
    <row r="241" spans="1:16" ht="24" customHeight="1" thickBot="1" x14ac:dyDescent="0.25">
      <c r="A241" s="1086"/>
      <c r="B241" s="1087"/>
      <c r="C241" s="152" t="s">
        <v>48</v>
      </c>
      <c r="D241" s="152" t="s">
        <v>519</v>
      </c>
      <c r="E241" s="152" t="s">
        <v>387</v>
      </c>
      <c r="F241" s="572" t="s">
        <v>520</v>
      </c>
    </row>
    <row r="242" spans="1:16" ht="26.25" customHeight="1" thickBot="1" x14ac:dyDescent="0.25">
      <c r="A242" s="183" t="s">
        <v>241</v>
      </c>
      <c r="B242" s="108" t="s">
        <v>440</v>
      </c>
      <c r="C242" s="370">
        <v>5230000</v>
      </c>
      <c r="D242" s="370">
        <f>F242-C242</f>
        <v>100000</v>
      </c>
      <c r="E242" s="267">
        <f>F242/C242*100</f>
        <v>101.91204588910135</v>
      </c>
      <c r="F242" s="182">
        <f>'Kiadások részletes COFOG'!F416</f>
        <v>5330000</v>
      </c>
      <c r="G242" s="159"/>
    </row>
    <row r="243" spans="1:16" ht="24" customHeight="1" thickBot="1" x14ac:dyDescent="0.25">
      <c r="A243" s="1083" t="s">
        <v>281</v>
      </c>
      <c r="B243" s="1083"/>
      <c r="C243" s="96">
        <f>SUM(C242)</f>
        <v>5230000</v>
      </c>
      <c r="D243" s="96">
        <f>SUM(D242)</f>
        <v>100000</v>
      </c>
      <c r="E243" s="343">
        <f>F243/C243*100</f>
        <v>101.91204588910135</v>
      </c>
      <c r="F243" s="97">
        <f>SUM(F242)</f>
        <v>5330000</v>
      </c>
    </row>
    <row r="244" spans="1:16" ht="24.75" customHeight="1" thickBot="1" x14ac:dyDescent="0.25">
      <c r="A244" s="1043" t="s">
        <v>137</v>
      </c>
      <c r="B244" s="1043"/>
      <c r="C244" s="1043"/>
      <c r="D244" s="1043"/>
      <c r="E244" s="1043"/>
      <c r="F244" s="1043"/>
    </row>
    <row r="245" spans="1:16" ht="21.75" customHeight="1" thickBot="1" x14ac:dyDescent="0.25">
      <c r="A245" s="1086" t="s">
        <v>46</v>
      </c>
      <c r="B245" s="1087" t="s">
        <v>47</v>
      </c>
      <c r="C245" s="1079">
        <v>2021</v>
      </c>
      <c r="D245" s="1080"/>
      <c r="E245" s="1080"/>
      <c r="F245" s="573">
        <v>2022</v>
      </c>
      <c r="M245" s="184"/>
      <c r="N245" s="184"/>
      <c r="O245" s="184"/>
      <c r="P245" s="184"/>
    </row>
    <row r="246" spans="1:16" ht="24.75" customHeight="1" thickBot="1" x14ac:dyDescent="0.25">
      <c r="A246" s="1086"/>
      <c r="B246" s="1087"/>
      <c r="C246" s="152" t="s">
        <v>48</v>
      </c>
      <c r="D246" s="152" t="s">
        <v>519</v>
      </c>
      <c r="E246" s="152" t="s">
        <v>387</v>
      </c>
      <c r="F246" s="572" t="s">
        <v>520</v>
      </c>
      <c r="M246" s="185"/>
      <c r="N246" s="185"/>
      <c r="O246" s="186"/>
      <c r="P246" s="49"/>
    </row>
    <row r="247" spans="1:16" ht="15.95" customHeight="1" x14ac:dyDescent="0.2">
      <c r="A247" s="489" t="s">
        <v>142</v>
      </c>
      <c r="B247" s="491" t="s">
        <v>143</v>
      </c>
      <c r="C247" s="504">
        <v>5140000</v>
      </c>
      <c r="D247" s="486">
        <f t="shared" ref="D247:D262" si="24">F247-C247</f>
        <v>910000</v>
      </c>
      <c r="E247" s="204">
        <f>F247/C247*100</f>
        <v>117.70428015564202</v>
      </c>
      <c r="F247" s="110">
        <f>'Kiadások részletes COFOG'!F425</f>
        <v>6050000</v>
      </c>
      <c r="L247" s="80"/>
      <c r="M247" s="185"/>
      <c r="N247" s="185"/>
      <c r="O247" s="187"/>
      <c r="P247" s="49"/>
    </row>
    <row r="248" spans="1:16" ht="15.95" customHeight="1" x14ac:dyDescent="0.2">
      <c r="A248" s="489" t="s">
        <v>430</v>
      </c>
      <c r="B248" s="491" t="s">
        <v>431</v>
      </c>
      <c r="C248" s="504">
        <v>100000</v>
      </c>
      <c r="D248" s="766">
        <f t="shared" si="24"/>
        <v>0</v>
      </c>
      <c r="E248" s="204">
        <f>F248/C248*100</f>
        <v>100</v>
      </c>
      <c r="F248" s="110">
        <f>'Kiadások részletes COFOG'!F426</f>
        <v>100000</v>
      </c>
      <c r="M248" s="185"/>
      <c r="N248" s="185"/>
      <c r="O248" s="187"/>
      <c r="P248" s="49"/>
    </row>
    <row r="249" spans="1:16" ht="18.75" customHeight="1" x14ac:dyDescent="0.2">
      <c r="A249" s="489" t="s">
        <v>148</v>
      </c>
      <c r="B249" s="491" t="s">
        <v>149</v>
      </c>
      <c r="C249" s="504">
        <v>12000</v>
      </c>
      <c r="D249" s="766">
        <f t="shared" si="24"/>
        <v>0</v>
      </c>
      <c r="E249" s="204">
        <f>F249/C249*100</f>
        <v>100</v>
      </c>
      <c r="F249" s="110">
        <f>'Kiadások részletes COFOG'!F427</f>
        <v>12000</v>
      </c>
      <c r="M249" s="49"/>
      <c r="N249" s="49"/>
      <c r="O249" s="49"/>
      <c r="P249" s="49"/>
    </row>
    <row r="250" spans="1:16" ht="18.75" customHeight="1" x14ac:dyDescent="0.2">
      <c r="A250" s="765" t="s">
        <v>150</v>
      </c>
      <c r="B250" s="764" t="s">
        <v>151</v>
      </c>
      <c r="C250" s="766">
        <v>48000</v>
      </c>
      <c r="D250" s="766">
        <f t="shared" si="24"/>
        <v>-48000</v>
      </c>
      <c r="E250" s="204">
        <v>0</v>
      </c>
      <c r="F250" s="110">
        <f>SUM('Kiadások részletes COFOG'!F428)</f>
        <v>0</v>
      </c>
      <c r="M250" s="49"/>
      <c r="N250" s="49"/>
      <c r="O250" s="49"/>
      <c r="P250" s="49"/>
    </row>
    <row r="251" spans="1:16" ht="15.95" customHeight="1" x14ac:dyDescent="0.2">
      <c r="A251" s="489" t="s">
        <v>158</v>
      </c>
      <c r="B251" s="491" t="s">
        <v>159</v>
      </c>
      <c r="C251" s="504">
        <v>825000</v>
      </c>
      <c r="D251" s="766">
        <f t="shared" si="24"/>
        <v>55000</v>
      </c>
      <c r="E251" s="204">
        <f>F251/C251*100</f>
        <v>106.66666666666667</v>
      </c>
      <c r="F251" s="110">
        <f>'Kiadások részletes COFOG'!F434</f>
        <v>880000</v>
      </c>
      <c r="K251" s="80"/>
      <c r="L251" s="80"/>
      <c r="M251" s="185"/>
      <c r="N251" s="185"/>
      <c r="O251" s="187"/>
      <c r="P251" s="49"/>
    </row>
    <row r="252" spans="1:16" ht="15.95" customHeight="1" x14ac:dyDescent="0.2">
      <c r="A252" s="489" t="s">
        <v>170</v>
      </c>
      <c r="B252" s="491" t="s">
        <v>171</v>
      </c>
      <c r="C252" s="115">
        <v>410000</v>
      </c>
      <c r="D252" s="766">
        <f t="shared" si="24"/>
        <v>550000</v>
      </c>
      <c r="E252" s="204">
        <f>F252/C252*100</f>
        <v>234.14634146341461</v>
      </c>
      <c r="F252" s="116">
        <f>'Kiadások részletes COFOG'!F440</f>
        <v>960000</v>
      </c>
      <c r="M252" s="188"/>
      <c r="N252" s="184"/>
      <c r="O252" s="189"/>
      <c r="P252" s="49"/>
    </row>
    <row r="253" spans="1:16" ht="15.95" customHeight="1" x14ac:dyDescent="0.2">
      <c r="A253" s="765" t="s">
        <v>639</v>
      </c>
      <c r="B253" s="764" t="s">
        <v>290</v>
      </c>
      <c r="C253" s="115"/>
      <c r="D253" s="766">
        <f t="shared" si="24"/>
        <v>0</v>
      </c>
      <c r="E253" s="204"/>
      <c r="F253" s="116"/>
      <c r="M253" s="188"/>
      <c r="N253" s="184"/>
      <c r="O253" s="189"/>
      <c r="P253" s="49"/>
    </row>
    <row r="254" spans="1:16" ht="15.95" customHeight="1" x14ac:dyDescent="0.2">
      <c r="A254" s="489" t="s">
        <v>195</v>
      </c>
      <c r="B254" s="491" t="s">
        <v>196</v>
      </c>
      <c r="C254" s="115">
        <v>12000000</v>
      </c>
      <c r="D254" s="766">
        <f t="shared" si="24"/>
        <v>-2000000</v>
      </c>
      <c r="E254" s="204">
        <f>F254/C254*100</f>
        <v>83.333333333333343</v>
      </c>
      <c r="F254" s="116">
        <f>'Kiadások részletes COFOG'!F441</f>
        <v>10000000</v>
      </c>
      <c r="G254" s="159"/>
    </row>
    <row r="255" spans="1:16" ht="15.95" customHeight="1" x14ac:dyDescent="0.2">
      <c r="A255" s="765" t="s">
        <v>199</v>
      </c>
      <c r="B255" s="764" t="s">
        <v>200</v>
      </c>
      <c r="C255" s="115">
        <v>70000</v>
      </c>
      <c r="D255" s="766">
        <f t="shared" si="24"/>
        <v>300000</v>
      </c>
      <c r="E255" s="204"/>
      <c r="F255" s="116">
        <f>('Kiadások részletes COFOG'!F442)</f>
        <v>370000</v>
      </c>
      <c r="G255" s="159"/>
    </row>
    <row r="256" spans="1:16" ht="15.95" customHeight="1" x14ac:dyDescent="0.2">
      <c r="A256" s="489" t="s">
        <v>201</v>
      </c>
      <c r="B256" s="491" t="s">
        <v>202</v>
      </c>
      <c r="C256" s="115">
        <v>5000</v>
      </c>
      <c r="D256" s="766">
        <f t="shared" si="24"/>
        <v>15000</v>
      </c>
      <c r="E256" s="204">
        <f>F256/C256*100</f>
        <v>400</v>
      </c>
      <c r="F256" s="116">
        <f>'Kiadások részletes COFOG'!F446</f>
        <v>20000</v>
      </c>
      <c r="G256" s="159"/>
    </row>
    <row r="257" spans="1:15" ht="15.95" customHeight="1" x14ac:dyDescent="0.2">
      <c r="A257" s="489" t="s">
        <v>205</v>
      </c>
      <c r="B257" s="491" t="s">
        <v>414</v>
      </c>
      <c r="C257" s="115">
        <v>90000</v>
      </c>
      <c r="D257" s="766">
        <f t="shared" si="24"/>
        <v>0</v>
      </c>
      <c r="E257" s="204">
        <f>F257/C257*100</f>
        <v>100</v>
      </c>
      <c r="F257" s="116">
        <f>'Kiadások részletes COFOG'!F448</f>
        <v>90000</v>
      </c>
    </row>
    <row r="258" spans="1:15" ht="21.75" customHeight="1" x14ac:dyDescent="0.2">
      <c r="A258" s="489" t="s">
        <v>213</v>
      </c>
      <c r="B258" s="491" t="s">
        <v>273</v>
      </c>
      <c r="C258" s="115">
        <v>3285000</v>
      </c>
      <c r="D258" s="766">
        <f t="shared" si="24"/>
        <v>-215000</v>
      </c>
      <c r="E258" s="204">
        <f>F258/C258*100</f>
        <v>93.455098934550989</v>
      </c>
      <c r="F258" s="116">
        <f>'Kiadások részletes COFOG'!F449</f>
        <v>3070000</v>
      </c>
    </row>
    <row r="259" spans="1:15" ht="18" customHeight="1" x14ac:dyDescent="0.2">
      <c r="A259" s="94" t="s">
        <v>249</v>
      </c>
      <c r="B259" s="95" t="s">
        <v>354</v>
      </c>
      <c r="C259" s="190">
        <v>0</v>
      </c>
      <c r="D259" s="766">
        <f t="shared" si="24"/>
        <v>0</v>
      </c>
      <c r="E259" s="204"/>
      <c r="F259" s="191">
        <f>'Kiadások részletes COFOG'!F451</f>
        <v>0</v>
      </c>
    </row>
    <row r="260" spans="1:15" ht="21.75" customHeight="1" x14ac:dyDescent="0.2">
      <c r="A260" s="94" t="s">
        <v>251</v>
      </c>
      <c r="B260" s="95" t="s">
        <v>278</v>
      </c>
      <c r="C260" s="190">
        <v>0</v>
      </c>
      <c r="D260" s="766">
        <f t="shared" si="24"/>
        <v>0</v>
      </c>
      <c r="E260" s="204"/>
      <c r="F260" s="191">
        <f>'Kiadások részletes COFOG'!F452</f>
        <v>0</v>
      </c>
    </row>
    <row r="261" spans="1:15" ht="21.75" customHeight="1" x14ac:dyDescent="0.2">
      <c r="A261" s="94" t="s">
        <v>299</v>
      </c>
      <c r="B261" s="95" t="s">
        <v>254</v>
      </c>
      <c r="C261" s="190">
        <v>0</v>
      </c>
      <c r="D261" s="766">
        <f t="shared" si="24"/>
        <v>0</v>
      </c>
      <c r="E261" s="204"/>
      <c r="F261" s="191">
        <f>'Kiadások részletes COFOG'!F453</f>
        <v>0</v>
      </c>
    </row>
    <row r="262" spans="1:15" ht="22.5" customHeight="1" thickBot="1" x14ac:dyDescent="0.25">
      <c r="A262" s="94" t="s">
        <v>300</v>
      </c>
      <c r="B262" s="95" t="s">
        <v>279</v>
      </c>
      <c r="C262" s="190">
        <v>0</v>
      </c>
      <c r="D262" s="766">
        <f t="shared" si="24"/>
        <v>0</v>
      </c>
      <c r="E262" s="204"/>
      <c r="F262" s="191">
        <f>'Kiadások részletes COFOG'!F454</f>
        <v>0</v>
      </c>
      <c r="G262" s="39"/>
      <c r="H262" s="161"/>
      <c r="I262" s="39"/>
      <c r="J262" s="39"/>
      <c r="K262" s="39"/>
      <c r="L262" s="39"/>
      <c r="M262" s="39"/>
      <c r="N262" s="39"/>
      <c r="O262" s="39"/>
    </row>
    <row r="263" spans="1:15" ht="23.25" customHeight="1" thickBot="1" x14ac:dyDescent="0.25">
      <c r="A263" s="1083" t="s">
        <v>281</v>
      </c>
      <c r="B263" s="1083"/>
      <c r="C263" s="192">
        <f>SUM(C247:C262)</f>
        <v>21985000</v>
      </c>
      <c r="D263" s="192">
        <f>SUM(D247:D262)</f>
        <v>-433000</v>
      </c>
      <c r="E263" s="344">
        <f>F263/C263*100</f>
        <v>98.030475324084591</v>
      </c>
      <c r="F263" s="193">
        <f>SUM(F247:F262)</f>
        <v>21552000</v>
      </c>
    </row>
    <row r="264" spans="1:15" ht="24" customHeight="1" thickBot="1" x14ac:dyDescent="0.25">
      <c r="A264" s="1043" t="s">
        <v>632</v>
      </c>
      <c r="B264" s="1043"/>
      <c r="C264" s="1043"/>
      <c r="D264" s="1043"/>
      <c r="E264" s="1043"/>
      <c r="F264" s="1043"/>
    </row>
    <row r="265" spans="1:15" ht="24" customHeight="1" thickBot="1" x14ac:dyDescent="0.25">
      <c r="A265" s="1086" t="s">
        <v>46</v>
      </c>
      <c r="B265" s="1087" t="s">
        <v>47</v>
      </c>
      <c r="C265" s="1079">
        <v>2021</v>
      </c>
      <c r="D265" s="1080"/>
      <c r="E265" s="1080"/>
      <c r="F265" s="573">
        <v>2022</v>
      </c>
    </row>
    <row r="266" spans="1:15" ht="24" customHeight="1" thickBot="1" x14ac:dyDescent="0.25">
      <c r="A266" s="1086"/>
      <c r="B266" s="1087"/>
      <c r="C266" s="152" t="s">
        <v>48</v>
      </c>
      <c r="D266" s="152" t="s">
        <v>519</v>
      </c>
      <c r="E266" s="152" t="s">
        <v>387</v>
      </c>
      <c r="F266" s="572" t="s">
        <v>520</v>
      </c>
    </row>
    <row r="267" spans="1:15" ht="24" customHeight="1" x14ac:dyDescent="0.2">
      <c r="A267" s="94" t="s">
        <v>170</v>
      </c>
      <c r="B267" s="95" t="s">
        <v>171</v>
      </c>
      <c r="C267" s="306">
        <v>0</v>
      </c>
      <c r="D267" s="306">
        <v>0</v>
      </c>
      <c r="E267" s="234">
        <v>0</v>
      </c>
      <c r="F267" s="99">
        <v>0</v>
      </c>
    </row>
    <row r="268" spans="1:15" ht="24" customHeight="1" x14ac:dyDescent="0.2">
      <c r="A268" s="94" t="s">
        <v>195</v>
      </c>
      <c r="B268" s="95" t="s">
        <v>196</v>
      </c>
      <c r="C268" s="306">
        <v>0</v>
      </c>
      <c r="D268" s="306">
        <v>0</v>
      </c>
      <c r="E268" s="234">
        <v>0</v>
      </c>
      <c r="F268" s="99">
        <v>0</v>
      </c>
    </row>
    <row r="269" spans="1:15" ht="24" customHeight="1" x14ac:dyDescent="0.2">
      <c r="A269" s="94" t="s">
        <v>205</v>
      </c>
      <c r="B269" s="95" t="s">
        <v>206</v>
      </c>
      <c r="C269" s="306">
        <v>0</v>
      </c>
      <c r="D269" s="306">
        <v>0</v>
      </c>
      <c r="E269" s="234">
        <v>0</v>
      </c>
      <c r="F269" s="99">
        <v>0</v>
      </c>
    </row>
    <row r="270" spans="1:15" ht="24" customHeight="1" thickBot="1" x14ac:dyDescent="0.25">
      <c r="A270" s="94" t="s">
        <v>213</v>
      </c>
      <c r="B270" s="95" t="s">
        <v>633</v>
      </c>
      <c r="C270" s="306">
        <v>0</v>
      </c>
      <c r="D270" s="306">
        <v>0</v>
      </c>
      <c r="E270" s="234">
        <v>0</v>
      </c>
      <c r="F270" s="99">
        <v>0</v>
      </c>
    </row>
    <row r="271" spans="1:15" ht="24" customHeight="1" thickBot="1" x14ac:dyDescent="0.25">
      <c r="A271" s="1083" t="s">
        <v>281</v>
      </c>
      <c r="B271" s="1083"/>
      <c r="C271" s="96">
        <f>SUM(C267:C270)</f>
        <v>0</v>
      </c>
      <c r="D271" s="96">
        <v>0</v>
      </c>
      <c r="E271" s="340">
        <v>0</v>
      </c>
      <c r="F271" s="97">
        <v>0</v>
      </c>
    </row>
    <row r="272" spans="1:15" ht="26.25" customHeight="1" thickBot="1" x14ac:dyDescent="0.25">
      <c r="A272" s="1043" t="s">
        <v>458</v>
      </c>
      <c r="B272" s="1043"/>
      <c r="C272" s="1043"/>
      <c r="D272" s="1043"/>
      <c r="E272" s="1043"/>
      <c r="F272" s="1043"/>
    </row>
    <row r="273" spans="1:6" ht="17.25" customHeight="1" thickBot="1" x14ac:dyDescent="0.25">
      <c r="A273" s="1086" t="s">
        <v>46</v>
      </c>
      <c r="B273" s="1087" t="s">
        <v>47</v>
      </c>
      <c r="C273" s="1079">
        <v>2021</v>
      </c>
      <c r="D273" s="1080"/>
      <c r="E273" s="1080"/>
      <c r="F273" s="573">
        <v>2022</v>
      </c>
    </row>
    <row r="274" spans="1:6" ht="25.5" customHeight="1" thickBot="1" x14ac:dyDescent="0.25">
      <c r="A274" s="1086"/>
      <c r="B274" s="1087"/>
      <c r="C274" s="152" t="s">
        <v>48</v>
      </c>
      <c r="D274" s="152" t="s">
        <v>519</v>
      </c>
      <c r="E274" s="152" t="s">
        <v>387</v>
      </c>
      <c r="F274" s="572" t="s">
        <v>520</v>
      </c>
    </row>
    <row r="275" spans="1:6" ht="21" customHeight="1" x14ac:dyDescent="0.2">
      <c r="A275" s="94" t="s">
        <v>195</v>
      </c>
      <c r="B275" s="95" t="s">
        <v>459</v>
      </c>
      <c r="C275" s="306">
        <v>1200000</v>
      </c>
      <c r="D275" s="306">
        <f>F275-C275</f>
        <v>100000</v>
      </c>
      <c r="E275" s="234">
        <f>F275/C275*100</f>
        <v>108.33333333333333</v>
      </c>
      <c r="F275" s="99">
        <f>'Kiadások részletes COFOG'!F464</f>
        <v>1300000</v>
      </c>
    </row>
    <row r="276" spans="1:6" ht="21" customHeight="1" thickBot="1" x14ac:dyDescent="0.25">
      <c r="A276" s="94" t="s">
        <v>213</v>
      </c>
      <c r="B276" s="162" t="s">
        <v>273</v>
      </c>
      <c r="C276" s="306">
        <v>324000</v>
      </c>
      <c r="D276" s="306">
        <f>F276-C276</f>
        <v>27000</v>
      </c>
      <c r="E276" s="234">
        <f>F276/C276*100</f>
        <v>108.33333333333333</v>
      </c>
      <c r="F276" s="99">
        <f>'Kiadások részletes COFOG'!F465</f>
        <v>351000</v>
      </c>
    </row>
    <row r="277" spans="1:6" ht="19.5" customHeight="1" thickBot="1" x14ac:dyDescent="0.25">
      <c r="A277" s="1083" t="s">
        <v>281</v>
      </c>
      <c r="B277" s="1083"/>
      <c r="C277" s="96">
        <f>SUM(C275:C276)</f>
        <v>1524000</v>
      </c>
      <c r="D277" s="96">
        <f>D275+D276</f>
        <v>127000</v>
      </c>
      <c r="E277" s="340">
        <f>F277/C277*100</f>
        <v>108.33333333333333</v>
      </c>
      <c r="F277" s="97">
        <f>F275+F276</f>
        <v>1651000</v>
      </c>
    </row>
    <row r="278" spans="1:6" ht="22.5" hidden="1" customHeight="1" thickBot="1" x14ac:dyDescent="0.25">
      <c r="A278" s="1043" t="s">
        <v>301</v>
      </c>
      <c r="B278" s="1043"/>
      <c r="C278" s="1043"/>
      <c r="D278" s="1043"/>
      <c r="E278" s="1043"/>
      <c r="F278" s="1043"/>
    </row>
    <row r="279" spans="1:6" ht="19.5" hidden="1" customHeight="1" thickBot="1" x14ac:dyDescent="0.25">
      <c r="A279" s="1086" t="s">
        <v>46</v>
      </c>
      <c r="B279" s="1087" t="s">
        <v>47</v>
      </c>
      <c r="C279" s="1079">
        <v>2021</v>
      </c>
      <c r="D279" s="1080"/>
      <c r="E279" s="1080"/>
      <c r="F279" s="573">
        <v>2022</v>
      </c>
    </row>
    <row r="280" spans="1:6" ht="21.75" hidden="1" customHeight="1" thickBot="1" x14ac:dyDescent="0.25">
      <c r="A280" s="1086"/>
      <c r="B280" s="1087"/>
      <c r="C280" s="152" t="s">
        <v>48</v>
      </c>
      <c r="D280" s="152" t="s">
        <v>519</v>
      </c>
      <c r="E280" s="152" t="s">
        <v>387</v>
      </c>
      <c r="F280" s="572" t="s">
        <v>520</v>
      </c>
    </row>
    <row r="281" spans="1:6" ht="19.5" hidden="1" customHeight="1" x14ac:dyDescent="0.2">
      <c r="A281" s="485" t="s">
        <v>195</v>
      </c>
      <c r="B281" s="195" t="s">
        <v>196</v>
      </c>
      <c r="C281" s="504">
        <v>0</v>
      </c>
      <c r="D281" s="486">
        <v>0</v>
      </c>
      <c r="E281" s="204">
        <v>0</v>
      </c>
      <c r="F281" s="110">
        <f>'Kiadások részletes COFOG'!F475</f>
        <v>0</v>
      </c>
    </row>
    <row r="282" spans="1:6" ht="21.75" hidden="1" thickBot="1" x14ac:dyDescent="0.25">
      <c r="A282" s="485" t="s">
        <v>213</v>
      </c>
      <c r="B282" s="195" t="s">
        <v>273</v>
      </c>
      <c r="C282" s="504">
        <v>0</v>
      </c>
      <c r="D282" s="486">
        <v>0</v>
      </c>
      <c r="E282" s="204">
        <v>0</v>
      </c>
      <c r="F282" s="110">
        <f>'Kiadások részletes COFOG'!F476</f>
        <v>0</v>
      </c>
    </row>
    <row r="283" spans="1:6" ht="19.5" hidden="1" customHeight="1" thickBot="1" x14ac:dyDescent="0.25">
      <c r="A283" s="1083" t="s">
        <v>281</v>
      </c>
      <c r="B283" s="1083"/>
      <c r="C283" s="96">
        <f>SUM(C281:C282)</f>
        <v>0</v>
      </c>
      <c r="D283" s="96">
        <f>SUM(D281:D282)</f>
        <v>0</v>
      </c>
      <c r="E283" s="340">
        <v>0</v>
      </c>
      <c r="F283" s="97">
        <f>SUM(F281:F282)</f>
        <v>0</v>
      </c>
    </row>
    <row r="284" spans="1:6" ht="23.25" hidden="1" customHeight="1" thickBot="1" x14ac:dyDescent="0.25">
      <c r="A284" s="1043" t="s">
        <v>139</v>
      </c>
      <c r="B284" s="1043"/>
      <c r="C284" s="1043"/>
      <c r="D284" s="1043"/>
      <c r="E284" s="1043"/>
      <c r="F284" s="1043"/>
    </row>
    <row r="285" spans="1:6" ht="16.5" hidden="1" customHeight="1" thickBot="1" x14ac:dyDescent="0.25">
      <c r="A285" s="1086" t="s">
        <v>46</v>
      </c>
      <c r="B285" s="1087" t="s">
        <v>47</v>
      </c>
      <c r="C285" s="1079">
        <v>2021</v>
      </c>
      <c r="D285" s="1080"/>
      <c r="E285" s="1080"/>
      <c r="F285" s="573">
        <v>2022</v>
      </c>
    </row>
    <row r="286" spans="1:6" ht="25.5" hidden="1" customHeight="1" thickBot="1" x14ac:dyDescent="0.25">
      <c r="A286" s="1086"/>
      <c r="B286" s="1087"/>
      <c r="C286" s="152" t="s">
        <v>48</v>
      </c>
      <c r="D286" s="152" t="s">
        <v>519</v>
      </c>
      <c r="E286" s="152" t="s">
        <v>387</v>
      </c>
      <c r="F286" s="572" t="s">
        <v>520</v>
      </c>
    </row>
    <row r="287" spans="1:6" ht="25.5" hidden="1" customHeight="1" thickBot="1" x14ac:dyDescent="0.25">
      <c r="A287" s="164" t="s">
        <v>223</v>
      </c>
      <c r="B287" s="165" t="s">
        <v>302</v>
      </c>
      <c r="C287" s="298">
        <v>0</v>
      </c>
      <c r="D287" s="166">
        <f>F287-C287</f>
        <v>0</v>
      </c>
      <c r="E287" s="234">
        <v>0</v>
      </c>
      <c r="F287" s="196">
        <f>'Kiadások részletes COFOG'!F470</f>
        <v>0</v>
      </c>
    </row>
    <row r="288" spans="1:6" ht="21" hidden="1" customHeight="1" thickBot="1" x14ac:dyDescent="0.25">
      <c r="A288" s="1083" t="s">
        <v>281</v>
      </c>
      <c r="B288" s="1083"/>
      <c r="C288" s="96">
        <v>0</v>
      </c>
      <c r="D288" s="96">
        <f>SUM(D287:D287)</f>
        <v>0</v>
      </c>
      <c r="E288" s="340">
        <v>0</v>
      </c>
      <c r="F288" s="97">
        <f>SUM(F287:F287)</f>
        <v>0</v>
      </c>
    </row>
    <row r="289" spans="1:12" ht="24.75" customHeight="1" thickBot="1" x14ac:dyDescent="0.25">
      <c r="A289" s="1043" t="s">
        <v>460</v>
      </c>
      <c r="B289" s="1043"/>
      <c r="C289" s="1043"/>
      <c r="D289" s="1043"/>
      <c r="E289" s="1043"/>
      <c r="F289" s="1043"/>
    </row>
    <row r="290" spans="1:12" ht="15.75" customHeight="1" thickBot="1" x14ac:dyDescent="0.25">
      <c r="A290" s="1086" t="s">
        <v>46</v>
      </c>
      <c r="B290" s="1087" t="s">
        <v>47</v>
      </c>
      <c r="C290" s="1079">
        <v>2021</v>
      </c>
      <c r="D290" s="1080"/>
      <c r="E290" s="1080"/>
      <c r="F290" s="573">
        <v>2022</v>
      </c>
    </row>
    <row r="291" spans="1:12" ht="24" customHeight="1" thickBot="1" x14ac:dyDescent="0.25">
      <c r="A291" s="1095"/>
      <c r="B291" s="1096"/>
      <c r="C291" s="152" t="s">
        <v>48</v>
      </c>
      <c r="D291" s="152" t="s">
        <v>519</v>
      </c>
      <c r="E291" s="152" t="s">
        <v>387</v>
      </c>
      <c r="F291" s="572" t="s">
        <v>520</v>
      </c>
    </row>
    <row r="292" spans="1:12" ht="24" customHeight="1" x14ac:dyDescent="0.2">
      <c r="A292" s="557" t="s">
        <v>514</v>
      </c>
      <c r="B292" s="555" t="s">
        <v>421</v>
      </c>
      <c r="C292" s="190">
        <v>1965000</v>
      </c>
      <c r="D292" s="190">
        <f t="shared" ref="D292:D298" si="25">F292-C292</f>
        <v>-1965000</v>
      </c>
      <c r="E292" s="551"/>
      <c r="F292" s="553">
        <f>'Kiadások részletes COFOG'!F481</f>
        <v>0</v>
      </c>
    </row>
    <row r="293" spans="1:12" ht="24" customHeight="1" x14ac:dyDescent="0.2">
      <c r="A293" s="857" t="s">
        <v>430</v>
      </c>
      <c r="B293" s="545" t="s">
        <v>636</v>
      </c>
      <c r="C293" s="190">
        <v>50000</v>
      </c>
      <c r="D293" s="190">
        <f t="shared" si="25"/>
        <v>0</v>
      </c>
      <c r="E293" s="858"/>
      <c r="F293" s="859">
        <f>SUM('Kiadások részletes COFOG'!F482)</f>
        <v>50000</v>
      </c>
    </row>
    <row r="294" spans="1:12" ht="24" customHeight="1" x14ac:dyDescent="0.2">
      <c r="A294" s="660" t="s">
        <v>148</v>
      </c>
      <c r="B294" s="661" t="s">
        <v>149</v>
      </c>
      <c r="C294" s="190">
        <v>12000</v>
      </c>
      <c r="D294" s="190">
        <f t="shared" si="25"/>
        <v>0</v>
      </c>
      <c r="E294" s="759"/>
      <c r="F294" s="760">
        <f>SUM('Kiadások részletes COFOG'!F483)</f>
        <v>12000</v>
      </c>
    </row>
    <row r="295" spans="1:12" ht="24" customHeight="1" x14ac:dyDescent="0.2">
      <c r="A295" s="931" t="s">
        <v>154</v>
      </c>
      <c r="B295" s="941" t="s">
        <v>155</v>
      </c>
      <c r="C295" s="115">
        <v>0</v>
      </c>
      <c r="D295" s="115">
        <f t="shared" si="25"/>
        <v>2000000</v>
      </c>
      <c r="E295" s="759"/>
      <c r="F295" s="760">
        <f>SUM('Kiadások részletes COFOG'!F484)</f>
        <v>2000000</v>
      </c>
    </row>
    <row r="296" spans="1:12" ht="24" customHeight="1" x14ac:dyDescent="0.2">
      <c r="A296" s="558" t="s">
        <v>351</v>
      </c>
      <c r="B296" s="556" t="s">
        <v>159</v>
      </c>
      <c r="C296" s="957">
        <v>315000</v>
      </c>
      <c r="D296" s="957">
        <f t="shared" si="25"/>
        <v>-15000</v>
      </c>
      <c r="E296" s="552"/>
      <c r="F296" s="554">
        <f>SUM('Kiadások részletes COFOG'!F488:F489)</f>
        <v>300000</v>
      </c>
      <c r="K296" s="80"/>
    </row>
    <row r="297" spans="1:12" ht="24" customHeight="1" x14ac:dyDescent="0.2">
      <c r="A297" s="489" t="s">
        <v>201</v>
      </c>
      <c r="B297" s="491" t="s">
        <v>202</v>
      </c>
      <c r="C297" s="190">
        <v>0</v>
      </c>
      <c r="D297" s="190">
        <f t="shared" si="25"/>
        <v>0</v>
      </c>
      <c r="E297" s="549"/>
      <c r="F297" s="116">
        <f>'Kiadások részletes COFOG'!F490</f>
        <v>0</v>
      </c>
    </row>
    <row r="298" spans="1:12" ht="24.75" customHeight="1" thickBot="1" x14ac:dyDescent="0.25">
      <c r="A298" s="94" t="s">
        <v>233</v>
      </c>
      <c r="B298" s="95" t="s">
        <v>274</v>
      </c>
      <c r="C298" s="190">
        <v>0</v>
      </c>
      <c r="D298" s="190">
        <f t="shared" si="25"/>
        <v>0</v>
      </c>
      <c r="E298" s="549"/>
      <c r="F298" s="958">
        <f>'Kiadások részletes COFOG'!F491</f>
        <v>0</v>
      </c>
      <c r="G298" s="169"/>
      <c r="L298" s="39"/>
    </row>
    <row r="299" spans="1:12" ht="21.75" customHeight="1" thickBot="1" x14ac:dyDescent="0.25">
      <c r="A299" s="1083" t="s">
        <v>281</v>
      </c>
      <c r="B299" s="1083"/>
      <c r="C299" s="194">
        <f>SUM(C292:C298)</f>
        <v>2342000</v>
      </c>
      <c r="D299" s="194">
        <f>SUM(D292:D298)</f>
        <v>20000</v>
      </c>
      <c r="E299" s="550">
        <f>F299/C299*100</f>
        <v>100.85397096498718</v>
      </c>
      <c r="F299" s="193">
        <f>SUM(F292:F298)</f>
        <v>2362000</v>
      </c>
    </row>
    <row r="300" spans="1:12" ht="24.75" customHeight="1" thickBot="1" x14ac:dyDescent="0.25">
      <c r="A300" s="1062" t="s">
        <v>304</v>
      </c>
      <c r="B300" s="1062"/>
      <c r="C300" s="1062"/>
      <c r="D300" s="1062"/>
      <c r="E300" s="1062"/>
      <c r="F300" s="1062"/>
    </row>
    <row r="301" spans="1:12" ht="18.75" customHeight="1" thickBot="1" x14ac:dyDescent="0.25">
      <c r="A301" s="1086" t="s">
        <v>46</v>
      </c>
      <c r="B301" s="1087" t="s">
        <v>47</v>
      </c>
      <c r="C301" s="1079">
        <v>2021</v>
      </c>
      <c r="D301" s="1080"/>
      <c r="E301" s="1080"/>
      <c r="F301" s="573">
        <v>2022</v>
      </c>
    </row>
    <row r="302" spans="1:12" ht="25.5" customHeight="1" thickBot="1" x14ac:dyDescent="0.25">
      <c r="A302" s="1086"/>
      <c r="B302" s="1087"/>
      <c r="C302" s="152" t="s">
        <v>48</v>
      </c>
      <c r="D302" s="152" t="s">
        <v>519</v>
      </c>
      <c r="E302" s="152" t="s">
        <v>387</v>
      </c>
      <c r="F302" s="572" t="s">
        <v>520</v>
      </c>
    </row>
    <row r="303" spans="1:12" ht="21" customHeight="1" x14ac:dyDescent="0.2">
      <c r="A303" s="164" t="s">
        <v>170</v>
      </c>
      <c r="B303" s="165" t="s">
        <v>305</v>
      </c>
      <c r="C303" s="166">
        <v>0</v>
      </c>
      <c r="D303" s="166">
        <f t="shared" ref="D303:D309" si="26">F303-C303</f>
        <v>0</v>
      </c>
      <c r="E303" s="341">
        <v>0</v>
      </c>
      <c r="F303" s="167">
        <f>'Kiadások részletes COFOG'!F496</f>
        <v>0</v>
      </c>
    </row>
    <row r="304" spans="1:12" ht="21" customHeight="1" x14ac:dyDescent="0.2">
      <c r="A304" s="164" t="s">
        <v>197</v>
      </c>
      <c r="B304" s="165" t="s">
        <v>198</v>
      </c>
      <c r="C304" s="166">
        <v>0</v>
      </c>
      <c r="D304" s="166">
        <f t="shared" si="26"/>
        <v>0</v>
      </c>
      <c r="E304" s="341">
        <v>0</v>
      </c>
      <c r="F304" s="167">
        <v>0</v>
      </c>
    </row>
    <row r="305" spans="1:15" ht="18.75" customHeight="1" x14ac:dyDescent="0.2">
      <c r="A305" s="164" t="s">
        <v>205</v>
      </c>
      <c r="B305" s="165" t="s">
        <v>306</v>
      </c>
      <c r="C305" s="166">
        <v>0</v>
      </c>
      <c r="D305" s="166">
        <f t="shared" si="26"/>
        <v>0</v>
      </c>
      <c r="E305" s="341">
        <v>0</v>
      </c>
      <c r="F305" s="167">
        <f>'Kiadások részletes COFOG'!F497</f>
        <v>0</v>
      </c>
    </row>
    <row r="306" spans="1:15" ht="18" customHeight="1" x14ac:dyDescent="0.2">
      <c r="A306" s="164" t="s">
        <v>213</v>
      </c>
      <c r="B306" s="165" t="s">
        <v>307</v>
      </c>
      <c r="C306" s="166">
        <v>0</v>
      </c>
      <c r="D306" s="166">
        <f t="shared" si="26"/>
        <v>0</v>
      </c>
      <c r="E306" s="341">
        <v>0</v>
      </c>
      <c r="F306" s="167">
        <f>'Kiadások részletes COFOG'!F498</f>
        <v>0</v>
      </c>
    </row>
    <row r="307" spans="1:15" ht="18" customHeight="1" x14ac:dyDescent="0.2">
      <c r="A307" s="164" t="s">
        <v>463</v>
      </c>
      <c r="B307" s="165" t="s">
        <v>469</v>
      </c>
      <c r="C307" s="166">
        <v>200000</v>
      </c>
      <c r="D307" s="166">
        <f t="shared" si="26"/>
        <v>-200000</v>
      </c>
      <c r="E307" s="341">
        <f>F307/C307*100</f>
        <v>0</v>
      </c>
      <c r="F307" s="167">
        <f>'Kiadások részletes COFOG'!F499</f>
        <v>0</v>
      </c>
    </row>
    <row r="308" spans="1:15" ht="24" customHeight="1" x14ac:dyDescent="0.2">
      <c r="A308" s="489" t="s">
        <v>463</v>
      </c>
      <c r="B308" s="491" t="s">
        <v>308</v>
      </c>
      <c r="C308" s="504">
        <v>5300000</v>
      </c>
      <c r="D308" s="166">
        <f t="shared" si="26"/>
        <v>1000000</v>
      </c>
      <c r="E308" s="341">
        <v>0</v>
      </c>
      <c r="F308" s="110">
        <f>'Kiadások részletes COFOG'!F500</f>
        <v>6300000</v>
      </c>
    </row>
    <row r="309" spans="1:15" ht="21" customHeight="1" thickBot="1" x14ac:dyDescent="0.25">
      <c r="A309" s="94" t="s">
        <v>463</v>
      </c>
      <c r="B309" s="95" t="s">
        <v>303</v>
      </c>
      <c r="C309" s="306">
        <v>5500000</v>
      </c>
      <c r="D309" s="166">
        <f t="shared" si="26"/>
        <v>0</v>
      </c>
      <c r="E309" s="341">
        <v>0</v>
      </c>
      <c r="F309" s="99">
        <f>'Kiadások részletes COFOG'!F502</f>
        <v>5500000</v>
      </c>
      <c r="M309" s="199"/>
      <c r="N309" s="199"/>
      <c r="O309" s="198"/>
    </row>
    <row r="310" spans="1:15" ht="19.5" customHeight="1" thickBot="1" x14ac:dyDescent="0.25">
      <c r="A310" s="1083" t="s">
        <v>281</v>
      </c>
      <c r="B310" s="1083"/>
      <c r="C310" s="96">
        <f>SUM(C303:C309)</f>
        <v>11000000</v>
      </c>
      <c r="D310" s="96">
        <f>SUM(D303:D309)</f>
        <v>800000</v>
      </c>
      <c r="E310" s="340">
        <f>F310/C310*100</f>
        <v>107.27272727272728</v>
      </c>
      <c r="F310" s="97">
        <f>SUM(F303:F309)</f>
        <v>11800000</v>
      </c>
      <c r="M310" s="1098"/>
      <c r="N310" s="1098"/>
      <c r="O310" s="198"/>
    </row>
    <row r="311" spans="1:15" x14ac:dyDescent="0.2">
      <c r="M311" s="1098"/>
      <c r="N311" s="1098"/>
      <c r="O311" s="198"/>
    </row>
    <row r="312" spans="1:15" ht="6.75" customHeight="1" x14ac:dyDescent="0.2">
      <c r="M312" s="1098"/>
      <c r="N312" s="1098"/>
      <c r="O312" s="198"/>
    </row>
    <row r="313" spans="1:15" ht="0.75" customHeight="1" thickBot="1" x14ac:dyDescent="0.25">
      <c r="M313" s="1098"/>
      <c r="N313" s="1098"/>
      <c r="O313" s="198"/>
    </row>
    <row r="314" spans="1:15" ht="21.75" customHeight="1" thickBot="1" x14ac:dyDescent="0.25">
      <c r="A314" s="200" t="s">
        <v>309</v>
      </c>
      <c r="B314" s="497"/>
      <c r="C314" s="150">
        <f>C58+C73+C88+C99+C105+C111+C121+C130+C141+C149+C163+C189+C215+C220+C238+C243+C263+C277+C283+C288+C299+C310+C271+C155</f>
        <v>404275656</v>
      </c>
      <c r="D314" s="150">
        <f>D58+D73+D88+D99+D105+D111+D121+D130+D141+D149+D163+D189+D215+D220+D238+D243+D263+D277+D283+D288+D299+D310+D155+D226</f>
        <v>167425008</v>
      </c>
      <c r="E314" s="345">
        <f>F314/C314*100</f>
        <v>141.41357648307172</v>
      </c>
      <c r="F314" s="150">
        <f>F58+F73+F88+F99+F105+F111+F121+F130+F141+F149+F163+F189+F215+F220+F238+F243+F263+F277+F283+F288+F299+F310+F155</f>
        <v>571700664</v>
      </c>
      <c r="M314" s="1097"/>
      <c r="N314" s="1097"/>
      <c r="O314" s="198"/>
    </row>
    <row r="315" spans="1:15" x14ac:dyDescent="0.2">
      <c r="M315" s="49"/>
      <c r="N315" s="49"/>
      <c r="O315" s="198"/>
    </row>
    <row r="316" spans="1:15" x14ac:dyDescent="0.2">
      <c r="D316" s="82"/>
      <c r="E316" s="82"/>
      <c r="F316" s="614">
        <f>F314-'Kiadások részletes COFOG'!F512</f>
        <v>0</v>
      </c>
      <c r="M316" s="49"/>
      <c r="N316" s="49"/>
      <c r="O316" s="49"/>
    </row>
    <row r="319" spans="1:15" x14ac:dyDescent="0.2">
      <c r="K319" s="80"/>
    </row>
    <row r="322" spans="11:14" x14ac:dyDescent="0.2">
      <c r="K322" s="80"/>
    </row>
    <row r="325" spans="11:14" x14ac:dyDescent="0.2">
      <c r="K325" s="80"/>
    </row>
    <row r="327" spans="11:14" x14ac:dyDescent="0.2">
      <c r="N327" s="80"/>
    </row>
    <row r="328" spans="11:14" x14ac:dyDescent="0.2">
      <c r="N328" s="80"/>
    </row>
    <row r="332" spans="11:14" x14ac:dyDescent="0.2">
      <c r="L332" s="80"/>
    </row>
    <row r="335" spans="11:14" x14ac:dyDescent="0.2">
      <c r="L335" s="80"/>
    </row>
    <row r="339" spans="11:14" x14ac:dyDescent="0.2">
      <c r="K339" s="80"/>
    </row>
    <row r="342" spans="11:14" x14ac:dyDescent="0.2">
      <c r="K342" s="80"/>
    </row>
    <row r="346" spans="11:14" x14ac:dyDescent="0.2">
      <c r="N346" s="80"/>
    </row>
  </sheetData>
  <autoFilter ref="A1:A332" xr:uid="{00000000-0009-0000-0000-000004000000}"/>
  <mergeCells count="143">
    <mergeCell ref="A48:B48"/>
    <mergeCell ref="A53:B53"/>
    <mergeCell ref="A56:B56"/>
    <mergeCell ref="A310:B310"/>
    <mergeCell ref="M310:N310"/>
    <mergeCell ref="M311:N311"/>
    <mergeCell ref="M312:N312"/>
    <mergeCell ref="M313:N313"/>
    <mergeCell ref="A283:B283"/>
    <mergeCell ref="A284:F284"/>
    <mergeCell ref="A285:A286"/>
    <mergeCell ref="B285:B286"/>
    <mergeCell ref="A288:B288"/>
    <mergeCell ref="C285:E285"/>
    <mergeCell ref="A243:B243"/>
    <mergeCell ref="A244:F244"/>
    <mergeCell ref="A245:A246"/>
    <mergeCell ref="B245:B246"/>
    <mergeCell ref="A263:B263"/>
    <mergeCell ref="C245:E245"/>
    <mergeCell ref="A272:F272"/>
    <mergeCell ref="A273:A274"/>
    <mergeCell ref="B273:B274"/>
    <mergeCell ref="A277:B277"/>
    <mergeCell ref="M314:N314"/>
    <mergeCell ref="A289:F289"/>
    <mergeCell ref="A290:A291"/>
    <mergeCell ref="B290:B291"/>
    <mergeCell ref="A299:B299"/>
    <mergeCell ref="A300:F300"/>
    <mergeCell ref="A301:A302"/>
    <mergeCell ref="B301:B302"/>
    <mergeCell ref="C290:E290"/>
    <mergeCell ref="C301:E301"/>
    <mergeCell ref="A278:F278"/>
    <mergeCell ref="A279:A280"/>
    <mergeCell ref="B279:B280"/>
    <mergeCell ref="C273:E273"/>
    <mergeCell ref="C279:E279"/>
    <mergeCell ref="A264:F264"/>
    <mergeCell ref="A271:B271"/>
    <mergeCell ref="A265:A266"/>
    <mergeCell ref="B265:B266"/>
    <mergeCell ref="C265:E265"/>
    <mergeCell ref="A220:B220"/>
    <mergeCell ref="A227:F227"/>
    <mergeCell ref="A228:A229"/>
    <mergeCell ref="B228:B229"/>
    <mergeCell ref="A238:B238"/>
    <mergeCell ref="A239:F239"/>
    <mergeCell ref="A240:A241"/>
    <mergeCell ref="B240:B241"/>
    <mergeCell ref="C228:E228"/>
    <mergeCell ref="C240:E240"/>
    <mergeCell ref="A221:F221"/>
    <mergeCell ref="A222:A223"/>
    <mergeCell ref="B222:B223"/>
    <mergeCell ref="A226:B226"/>
    <mergeCell ref="C222:E222"/>
    <mergeCell ref="A189:B189"/>
    <mergeCell ref="A190:F190"/>
    <mergeCell ref="A191:A192"/>
    <mergeCell ref="B191:B192"/>
    <mergeCell ref="A215:B215"/>
    <mergeCell ref="A216:F216"/>
    <mergeCell ref="A217:A218"/>
    <mergeCell ref="B217:B218"/>
    <mergeCell ref="C191:E191"/>
    <mergeCell ref="C217:E217"/>
    <mergeCell ref="A149:B149"/>
    <mergeCell ref="A156:F156"/>
    <mergeCell ref="A157:A158"/>
    <mergeCell ref="B157:B158"/>
    <mergeCell ref="A163:B163"/>
    <mergeCell ref="A164:F164"/>
    <mergeCell ref="A165:A166"/>
    <mergeCell ref="B165:B166"/>
    <mergeCell ref="C157:E157"/>
    <mergeCell ref="C165:E165"/>
    <mergeCell ref="A150:F150"/>
    <mergeCell ref="A151:A152"/>
    <mergeCell ref="B151:B152"/>
    <mergeCell ref="C151:E151"/>
    <mergeCell ref="A155:B155"/>
    <mergeCell ref="A121:B121"/>
    <mergeCell ref="A131:F131"/>
    <mergeCell ref="A132:A133"/>
    <mergeCell ref="B132:B133"/>
    <mergeCell ref="I139:J139"/>
    <mergeCell ref="A141:B141"/>
    <mergeCell ref="A142:F142"/>
    <mergeCell ref="A143:A144"/>
    <mergeCell ref="B143:B144"/>
    <mergeCell ref="A122:F122"/>
    <mergeCell ref="A123:A124"/>
    <mergeCell ref="B123:B124"/>
    <mergeCell ref="A130:B130"/>
    <mergeCell ref="C123:E123"/>
    <mergeCell ref="C132:E132"/>
    <mergeCell ref="C143:E143"/>
    <mergeCell ref="A105:B105"/>
    <mergeCell ref="A106:F106"/>
    <mergeCell ref="A107:A108"/>
    <mergeCell ref="B107:B108"/>
    <mergeCell ref="A111:B111"/>
    <mergeCell ref="A112:F112"/>
    <mergeCell ref="A113:A114"/>
    <mergeCell ref="B113:B114"/>
    <mergeCell ref="C107:E107"/>
    <mergeCell ref="C113:E113"/>
    <mergeCell ref="I84:J84"/>
    <mergeCell ref="A88:B88"/>
    <mergeCell ref="A89:F89"/>
    <mergeCell ref="A90:A91"/>
    <mergeCell ref="B90:B91"/>
    <mergeCell ref="A99:B99"/>
    <mergeCell ref="A100:F100"/>
    <mergeCell ref="A101:A102"/>
    <mergeCell ref="B101:B102"/>
    <mergeCell ref="C90:E90"/>
    <mergeCell ref="C101:E101"/>
    <mergeCell ref="A58:B58"/>
    <mergeCell ref="A59:F59"/>
    <mergeCell ref="A60:A61"/>
    <mergeCell ref="B60:B61"/>
    <mergeCell ref="A73:B73"/>
    <mergeCell ref="A74:F74"/>
    <mergeCell ref="A75:A76"/>
    <mergeCell ref="B75:B76"/>
    <mergeCell ref="C60:E60"/>
    <mergeCell ref="C75:E75"/>
    <mergeCell ref="A2:F2"/>
    <mergeCell ref="A3:F3"/>
    <mergeCell ref="A5:F5"/>
    <mergeCell ref="A7:F7"/>
    <mergeCell ref="A8:A9"/>
    <mergeCell ref="B8:B9"/>
    <mergeCell ref="E1:F1"/>
    <mergeCell ref="A45:A47"/>
    <mergeCell ref="C8:E8"/>
    <mergeCell ref="A18:B18"/>
    <mergeCell ref="A20:B20"/>
    <mergeCell ref="A40:B40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58" firstPageNumber="0" orientation="portrait" verticalDpi="300" r:id="rId1"/>
  <headerFooter>
    <oddFooter>&amp;LKészítette: FNZS&amp;C&amp;P/&amp;N</oddFooter>
  </headerFooter>
  <rowBreaks count="4" manualBreakCount="4">
    <brk id="58" max="16383" man="1"/>
    <brk id="105" max="5" man="1"/>
    <brk id="155" max="5" man="1"/>
    <brk id="215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31"/>
  <sheetViews>
    <sheetView topLeftCell="A103" zoomScale="112" zoomScaleNormal="112" workbookViewId="0">
      <selection activeCell="J39" sqref="J39"/>
    </sheetView>
  </sheetViews>
  <sheetFormatPr defaultRowHeight="12.75" x14ac:dyDescent="0.2"/>
  <cols>
    <col min="1" max="1" width="9.140625" customWidth="1"/>
    <col min="2" max="2" width="35.5703125" customWidth="1"/>
    <col min="3" max="3" width="13" customWidth="1"/>
    <col min="4" max="5" width="9.140625" customWidth="1"/>
    <col min="6" max="6" width="17.85546875" style="82" customWidth="1"/>
    <col min="7" max="7" width="13.140625" style="238" customWidth="1"/>
    <col min="8" max="8" width="14.42578125" style="673" bestFit="1" customWidth="1"/>
    <col min="9" max="9" width="11.7109375" style="693" bestFit="1" customWidth="1"/>
    <col min="10" max="10" width="10.140625" bestFit="1" customWidth="1"/>
    <col min="11" max="11" width="12.85546875" customWidth="1"/>
    <col min="12" max="13" width="9.140625" customWidth="1"/>
    <col min="14" max="14" width="10.140625" bestFit="1" customWidth="1"/>
    <col min="15" max="15" width="20.5703125" customWidth="1"/>
    <col min="16" max="1025" width="9.140625" customWidth="1"/>
  </cols>
  <sheetData>
    <row r="1" spans="1:11" ht="12" customHeight="1" x14ac:dyDescent="0.2">
      <c r="E1" s="1135" t="s">
        <v>389</v>
      </c>
      <c r="F1" s="1077"/>
    </row>
    <row r="2" spans="1:11" ht="12" customHeight="1" x14ac:dyDescent="0.2">
      <c r="E2" s="328"/>
      <c r="F2" s="329"/>
    </row>
    <row r="3" spans="1:11" ht="15.75" x14ac:dyDescent="0.25">
      <c r="A3" s="1033" t="s">
        <v>646</v>
      </c>
      <c r="B3" s="1033"/>
      <c r="C3" s="1033"/>
      <c r="D3" s="1033"/>
      <c r="E3" s="1033"/>
      <c r="F3" s="1033"/>
    </row>
    <row r="4" spans="1:11" ht="15.75" x14ac:dyDescent="0.25">
      <c r="A4" s="1033" t="s">
        <v>393</v>
      </c>
      <c r="B4" s="1033"/>
      <c r="C4" s="1033"/>
      <c r="D4" s="1033"/>
      <c r="E4" s="1033"/>
      <c r="F4" s="1033"/>
    </row>
    <row r="5" spans="1:11" ht="21.75" customHeight="1" x14ac:dyDescent="0.2">
      <c r="F5" s="83" t="s">
        <v>45</v>
      </c>
    </row>
    <row r="6" spans="1:11" ht="18" customHeight="1" x14ac:dyDescent="0.2">
      <c r="A6" s="1136" t="s">
        <v>268</v>
      </c>
      <c r="B6" s="1136"/>
      <c r="C6" s="1136"/>
      <c r="D6" s="1136"/>
      <c r="E6" s="1136"/>
      <c r="F6" s="1136"/>
      <c r="H6" s="674"/>
    </row>
    <row r="7" spans="1:11" s="39" customFormat="1" ht="18" customHeight="1" x14ac:dyDescent="0.2">
      <c r="A7" s="84"/>
      <c r="B7" s="84"/>
      <c r="C7" s="84"/>
      <c r="D7" s="84"/>
      <c r="E7" s="84"/>
      <c r="F7" s="84"/>
      <c r="G7" s="415"/>
      <c r="H7" s="675"/>
      <c r="I7" s="694"/>
    </row>
    <row r="8" spans="1:11" ht="23.25" customHeight="1" x14ac:dyDescent="0.2">
      <c r="A8" s="1119" t="s">
        <v>115</v>
      </c>
      <c r="B8" s="1119"/>
      <c r="C8" s="1119"/>
      <c r="D8" s="1119"/>
      <c r="E8" s="1119"/>
      <c r="F8" s="1119"/>
    </row>
    <row r="9" spans="1:11" ht="17.25" customHeight="1" x14ac:dyDescent="0.2">
      <c r="A9" s="1137" t="s">
        <v>46</v>
      </c>
      <c r="B9" s="1138" t="s">
        <v>47</v>
      </c>
      <c r="C9" s="1124">
        <v>2022</v>
      </c>
      <c r="D9" s="1124"/>
      <c r="E9" s="1124"/>
      <c r="F9" s="1124"/>
    </row>
    <row r="10" spans="1:11" ht="16.5" customHeight="1" x14ac:dyDescent="0.2">
      <c r="A10" s="1137"/>
      <c r="B10" s="1138"/>
      <c r="C10" s="1125"/>
      <c r="D10" s="1125"/>
      <c r="E10" s="1125"/>
      <c r="F10" s="201" t="s">
        <v>520</v>
      </c>
      <c r="G10" s="202"/>
    </row>
    <row r="11" spans="1:11" ht="15" customHeight="1" thickBot="1" x14ac:dyDescent="0.25">
      <c r="A11" s="1140" t="s">
        <v>142</v>
      </c>
      <c r="B11" s="1141" t="s">
        <v>269</v>
      </c>
      <c r="C11" s="1141"/>
      <c r="D11" s="1141"/>
      <c r="E11" s="1141"/>
      <c r="F11" s="1141"/>
    </row>
    <row r="12" spans="1:11" ht="15" customHeight="1" thickBot="1" x14ac:dyDescent="0.25">
      <c r="A12" s="1140"/>
      <c r="B12" s="566"/>
      <c r="C12" s="574"/>
      <c r="D12" s="575"/>
      <c r="E12" s="575"/>
      <c r="F12" s="229"/>
    </row>
    <row r="13" spans="1:11" ht="15" customHeight="1" thickBot="1" x14ac:dyDescent="0.25">
      <c r="A13" s="1140"/>
      <c r="B13" s="941"/>
      <c r="C13" s="574"/>
      <c r="D13" s="575"/>
      <c r="E13" s="575"/>
      <c r="F13" s="229">
        <f>C13*D13</f>
        <v>0</v>
      </c>
      <c r="J13" s="114"/>
    </row>
    <row r="14" spans="1:11" ht="15" customHeight="1" x14ac:dyDescent="0.2">
      <c r="A14" s="1140"/>
      <c r="B14" s="1101" t="s">
        <v>310</v>
      </c>
      <c r="C14" s="1101"/>
      <c r="D14" s="1101"/>
      <c r="E14" s="1101"/>
      <c r="F14" s="206">
        <f>SUM(F12:F13)</f>
        <v>0</v>
      </c>
    </row>
    <row r="15" spans="1:11" ht="15" customHeight="1" x14ac:dyDescent="0.2">
      <c r="A15" s="356" t="s">
        <v>394</v>
      </c>
      <c r="B15" s="357" t="s">
        <v>395</v>
      </c>
      <c r="C15" s="357"/>
      <c r="D15" s="357"/>
      <c r="E15" s="357"/>
      <c r="F15" s="206">
        <v>0</v>
      </c>
      <c r="K15" s="158"/>
    </row>
    <row r="16" spans="1:11" ht="15" customHeight="1" x14ac:dyDescent="0.2">
      <c r="A16" s="105" t="s">
        <v>152</v>
      </c>
      <c r="B16" s="1111" t="s">
        <v>153</v>
      </c>
      <c r="C16" s="1111"/>
      <c r="D16" s="1111"/>
      <c r="E16" s="1111"/>
      <c r="F16" s="1111"/>
    </row>
    <row r="17" spans="1:10" ht="15" customHeight="1" x14ac:dyDescent="0.2">
      <c r="A17" s="207"/>
      <c r="B17" s="90" t="s">
        <v>684</v>
      </c>
      <c r="C17" s="203">
        <v>565900</v>
      </c>
      <c r="D17" s="204">
        <v>1</v>
      </c>
      <c r="E17" s="204" t="s">
        <v>311</v>
      </c>
      <c r="F17" s="205">
        <f>SUM(C17*D17)</f>
        <v>565900</v>
      </c>
      <c r="H17" s="676"/>
    </row>
    <row r="18" spans="1:10" ht="15" customHeight="1" x14ac:dyDescent="0.2">
      <c r="A18" s="207"/>
      <c r="B18" s="90" t="s">
        <v>685</v>
      </c>
      <c r="C18" s="109">
        <v>797400</v>
      </c>
      <c r="D18" s="204">
        <v>11</v>
      </c>
      <c r="E18" s="204" t="s">
        <v>311</v>
      </c>
      <c r="F18" s="205">
        <f t="shared" ref="F18:F29" si="0">SUM(C18*D18)</f>
        <v>8771400</v>
      </c>
    </row>
    <row r="19" spans="1:10" ht="15" customHeight="1" x14ac:dyDescent="0.2">
      <c r="A19" s="372"/>
      <c r="B19" s="90" t="s">
        <v>686</v>
      </c>
      <c r="C19" s="644">
        <v>82275</v>
      </c>
      <c r="D19" s="204">
        <v>1</v>
      </c>
      <c r="E19" s="204" t="s">
        <v>311</v>
      </c>
      <c r="F19" s="205">
        <f t="shared" si="0"/>
        <v>82275</v>
      </c>
    </row>
    <row r="20" spans="1:10" ht="15" customHeight="1" x14ac:dyDescent="0.2">
      <c r="A20" s="372"/>
      <c r="B20" s="944" t="s">
        <v>687</v>
      </c>
      <c r="C20" s="946">
        <v>117000</v>
      </c>
      <c r="D20" s="204">
        <v>11</v>
      </c>
      <c r="E20" s="204" t="s">
        <v>311</v>
      </c>
      <c r="F20" s="205">
        <f t="shared" si="0"/>
        <v>1287000</v>
      </c>
    </row>
    <row r="21" spans="1:10" ht="15" customHeight="1" x14ac:dyDescent="0.2">
      <c r="A21" s="207"/>
      <c r="B21" s="90" t="s">
        <v>547</v>
      </c>
      <c r="C21" s="109">
        <v>344000</v>
      </c>
      <c r="D21" s="204">
        <v>1</v>
      </c>
      <c r="E21" s="204" t="s">
        <v>311</v>
      </c>
      <c r="F21" s="205">
        <f t="shared" si="0"/>
        <v>344000</v>
      </c>
      <c r="H21" s="677"/>
    </row>
    <row r="22" spans="1:10" ht="15" customHeight="1" x14ac:dyDescent="0.2">
      <c r="A22" s="207"/>
      <c r="B22" s="277" t="s">
        <v>575</v>
      </c>
      <c r="C22" s="109">
        <v>434000</v>
      </c>
      <c r="D22" s="204">
        <v>11</v>
      </c>
      <c r="E22" s="204" t="s">
        <v>311</v>
      </c>
      <c r="F22" s="205">
        <f t="shared" si="0"/>
        <v>4774000</v>
      </c>
      <c r="H22" s="676"/>
    </row>
    <row r="23" spans="1:10" ht="15" customHeight="1" x14ac:dyDescent="0.2">
      <c r="A23" s="278"/>
      <c r="B23" s="277" t="s">
        <v>523</v>
      </c>
      <c r="C23" s="279">
        <v>167000</v>
      </c>
      <c r="D23" s="204">
        <v>1</v>
      </c>
      <c r="E23" s="204" t="s">
        <v>311</v>
      </c>
      <c r="F23" s="205">
        <f t="shared" si="0"/>
        <v>167000</v>
      </c>
      <c r="J23" s="315"/>
    </row>
    <row r="24" spans="1:10" ht="15" customHeight="1" x14ac:dyDescent="0.2">
      <c r="A24" s="372"/>
      <c r="B24" s="651" t="s">
        <v>577</v>
      </c>
      <c r="C24" s="644">
        <v>190000</v>
      </c>
      <c r="D24" s="204">
        <v>11</v>
      </c>
      <c r="E24" s="204" t="s">
        <v>311</v>
      </c>
      <c r="F24" s="205">
        <f t="shared" si="0"/>
        <v>2090000</v>
      </c>
      <c r="J24" s="315"/>
    </row>
    <row r="25" spans="1:10" ht="15.75" customHeight="1" x14ac:dyDescent="0.2">
      <c r="A25" s="372"/>
      <c r="B25" s="566" t="s">
        <v>524</v>
      </c>
      <c r="C25" s="561">
        <v>25000</v>
      </c>
      <c r="D25" s="204">
        <v>1</v>
      </c>
      <c r="E25" s="204" t="s">
        <v>311</v>
      </c>
      <c r="F25" s="205">
        <f t="shared" si="0"/>
        <v>25000</v>
      </c>
      <c r="J25" s="315"/>
    </row>
    <row r="26" spans="1:10" ht="15.75" customHeight="1" x14ac:dyDescent="0.2">
      <c r="A26" s="372"/>
      <c r="B26" s="651" t="s">
        <v>576</v>
      </c>
      <c r="C26" s="644">
        <v>28500</v>
      </c>
      <c r="D26" s="204">
        <v>11</v>
      </c>
      <c r="E26" s="204" t="s">
        <v>311</v>
      </c>
      <c r="F26" s="205">
        <f t="shared" si="0"/>
        <v>313500</v>
      </c>
      <c r="J26" s="315"/>
    </row>
    <row r="27" spans="1:10" ht="15" customHeight="1" x14ac:dyDescent="0.2">
      <c r="A27" s="207"/>
      <c r="B27" s="90" t="s">
        <v>738</v>
      </c>
      <c r="C27" s="109">
        <v>797400</v>
      </c>
      <c r="D27" s="204">
        <v>3</v>
      </c>
      <c r="E27" s="204" t="s">
        <v>312</v>
      </c>
      <c r="F27" s="205">
        <f t="shared" si="0"/>
        <v>2392200</v>
      </c>
      <c r="J27" s="114"/>
    </row>
    <row r="28" spans="1:10" ht="15" customHeight="1" x14ac:dyDescent="0.2">
      <c r="A28" s="104" t="s">
        <v>152</v>
      </c>
      <c r="B28" s="90" t="s">
        <v>313</v>
      </c>
      <c r="C28" s="109">
        <v>1000</v>
      </c>
      <c r="D28" s="204">
        <v>12</v>
      </c>
      <c r="E28" s="204" t="s">
        <v>311</v>
      </c>
      <c r="F28" s="205">
        <f t="shared" si="0"/>
        <v>12000</v>
      </c>
      <c r="J28" s="114"/>
    </row>
    <row r="29" spans="1:10" ht="15" customHeight="1" x14ac:dyDescent="0.2">
      <c r="A29" s="365"/>
      <c r="B29" s="361" t="s">
        <v>402</v>
      </c>
      <c r="C29" s="364">
        <v>4000</v>
      </c>
      <c r="D29" s="204">
        <v>12</v>
      </c>
      <c r="E29" s="204" t="s">
        <v>311</v>
      </c>
      <c r="F29" s="205">
        <f t="shared" si="0"/>
        <v>48000</v>
      </c>
      <c r="G29" s="219">
        <f>SUM(F17:F29)</f>
        <v>20872275</v>
      </c>
      <c r="J29" s="114"/>
    </row>
    <row r="30" spans="1:10" ht="15" customHeight="1" x14ac:dyDescent="0.2">
      <c r="A30" s="153"/>
      <c r="B30" s="1101" t="s">
        <v>314</v>
      </c>
      <c r="C30" s="1101"/>
      <c r="D30" s="1101"/>
      <c r="E30" s="1101"/>
      <c r="F30" s="206">
        <v>20900000</v>
      </c>
    </row>
    <row r="31" spans="1:10" ht="18.75" customHeight="1" x14ac:dyDescent="0.2">
      <c r="A31" s="1053" t="s">
        <v>154</v>
      </c>
      <c r="B31" s="1111" t="s">
        <v>155</v>
      </c>
      <c r="C31" s="1111"/>
      <c r="D31" s="1111"/>
      <c r="E31" s="1111"/>
      <c r="F31" s="1111"/>
    </row>
    <row r="32" spans="1:10" ht="18" customHeight="1" x14ac:dyDescent="0.2">
      <c r="A32" s="1053"/>
      <c r="B32" s="862" t="s">
        <v>565</v>
      </c>
      <c r="C32" s="864">
        <v>15000</v>
      </c>
      <c r="D32" s="204">
        <v>12</v>
      </c>
      <c r="E32" s="204"/>
      <c r="F32" s="289">
        <f>SUM(C32*D32)</f>
        <v>180000</v>
      </c>
    </row>
    <row r="33" spans="1:11" ht="18" customHeight="1" x14ac:dyDescent="0.2">
      <c r="A33" s="1053"/>
      <c r="B33" s="651" t="s">
        <v>564</v>
      </c>
      <c r="C33" s="644">
        <v>50820</v>
      </c>
      <c r="D33" s="204">
        <v>1</v>
      </c>
      <c r="E33" s="204"/>
      <c r="F33" s="289">
        <f t="shared" ref="F33:F36" si="1">SUM(C33*D33)</f>
        <v>50820</v>
      </c>
    </row>
    <row r="34" spans="1:11" ht="18" customHeight="1" x14ac:dyDescent="0.2">
      <c r="A34" s="1053"/>
      <c r="B34" s="944" t="s">
        <v>564</v>
      </c>
      <c r="C34" s="982">
        <v>55000</v>
      </c>
      <c r="D34" s="204">
        <v>11</v>
      </c>
      <c r="E34" s="204"/>
      <c r="F34" s="289">
        <f t="shared" si="1"/>
        <v>605000</v>
      </c>
    </row>
    <row r="35" spans="1:11" ht="18" customHeight="1" x14ac:dyDescent="0.2">
      <c r="A35" s="1053"/>
      <c r="B35" s="651" t="s">
        <v>563</v>
      </c>
      <c r="C35" s="644">
        <v>40000</v>
      </c>
      <c r="D35" s="204">
        <v>12</v>
      </c>
      <c r="E35" s="204"/>
      <c r="F35" s="289">
        <f t="shared" si="1"/>
        <v>480000</v>
      </c>
    </row>
    <row r="36" spans="1:11" ht="18" customHeight="1" x14ac:dyDescent="0.2">
      <c r="A36" s="1053"/>
      <c r="B36" s="564" t="s">
        <v>406</v>
      </c>
      <c r="C36" s="562">
        <v>18000</v>
      </c>
      <c r="D36" s="379">
        <v>12</v>
      </c>
      <c r="E36" s="379"/>
      <c r="F36" s="289">
        <f t="shared" si="1"/>
        <v>216000</v>
      </c>
    </row>
    <row r="37" spans="1:11" ht="18" customHeight="1" x14ac:dyDescent="0.2">
      <c r="A37" s="1053"/>
      <c r="B37" s="942" t="s">
        <v>688</v>
      </c>
      <c r="C37" s="947"/>
      <c r="D37" s="379"/>
      <c r="E37" s="379"/>
      <c r="F37" s="289">
        <v>300000</v>
      </c>
    </row>
    <row r="38" spans="1:11" ht="15.75" customHeight="1" x14ac:dyDescent="0.2">
      <c r="A38" s="1053"/>
      <c r="B38" s="1101" t="s">
        <v>315</v>
      </c>
      <c r="C38" s="1101"/>
      <c r="D38" s="1101"/>
      <c r="E38" s="1101"/>
      <c r="F38" s="206">
        <f>SUM(F32:F37)</f>
        <v>1831820</v>
      </c>
      <c r="H38" s="676"/>
    </row>
    <row r="39" spans="1:11" ht="15" customHeight="1" x14ac:dyDescent="0.2">
      <c r="A39" s="363" t="s">
        <v>404</v>
      </c>
      <c r="B39" s="1101" t="s">
        <v>157</v>
      </c>
      <c r="C39" s="1101"/>
      <c r="D39" s="1101"/>
      <c r="E39" s="1101"/>
      <c r="F39" s="206">
        <v>150000</v>
      </c>
    </row>
    <row r="40" spans="1:11" ht="15" customHeight="1" x14ac:dyDescent="0.2">
      <c r="A40" s="1142" t="s">
        <v>316</v>
      </c>
      <c r="B40" s="90" t="s">
        <v>317</v>
      </c>
      <c r="C40" s="109">
        <f>F14+F30+F38+F15+F39</f>
        <v>22881820</v>
      </c>
      <c r="D40" s="209">
        <v>0.13</v>
      </c>
      <c r="E40" s="978"/>
      <c r="F40" s="205">
        <f>C40*D40</f>
        <v>2974636.6</v>
      </c>
      <c r="G40" s="219"/>
      <c r="H40" s="676"/>
    </row>
    <row r="41" spans="1:11" ht="15" customHeight="1" x14ac:dyDescent="0.2">
      <c r="A41" s="1142"/>
      <c r="B41" s="944" t="s">
        <v>664</v>
      </c>
      <c r="C41" s="946">
        <f>SUM(F37)</f>
        <v>300000</v>
      </c>
      <c r="D41" s="209">
        <v>0.15</v>
      </c>
      <c r="E41" s="978"/>
      <c r="F41" s="205">
        <f>SUM(C41*D41)</f>
        <v>45000</v>
      </c>
      <c r="G41" s="219"/>
      <c r="H41" s="676"/>
    </row>
    <row r="42" spans="1:11" ht="15" customHeight="1" x14ac:dyDescent="0.2">
      <c r="A42" s="1142"/>
      <c r="B42" s="944"/>
      <c r="C42" s="982"/>
      <c r="D42" s="209"/>
      <c r="F42" s="205"/>
      <c r="G42" s="219">
        <f>SUM(F40:F42)</f>
        <v>3019636.6</v>
      </c>
      <c r="H42" s="676"/>
    </row>
    <row r="43" spans="1:11" ht="15.75" customHeight="1" x14ac:dyDescent="0.2">
      <c r="A43" s="1142"/>
      <c r="B43" s="1101" t="s">
        <v>318</v>
      </c>
      <c r="C43" s="1101"/>
      <c r="D43" s="1101"/>
      <c r="E43" s="1101"/>
      <c r="F43" s="206">
        <v>3100000</v>
      </c>
      <c r="G43" s="219"/>
    </row>
    <row r="44" spans="1:11" ht="15" customHeight="1" x14ac:dyDescent="0.2">
      <c r="A44" s="1102" t="s">
        <v>162</v>
      </c>
      <c r="B44" s="655" t="s">
        <v>582</v>
      </c>
      <c r="C44" s="657">
        <v>1800</v>
      </c>
      <c r="D44" s="214">
        <v>0.05</v>
      </c>
      <c r="E44" s="204">
        <v>4</v>
      </c>
      <c r="F44" s="205">
        <f>SUM(C44*E44)</f>
        <v>7200</v>
      </c>
      <c r="G44" s="671"/>
      <c r="H44" s="678">
        <v>0.05</v>
      </c>
      <c r="I44" s="704">
        <f>SUM(F44*H44)</f>
        <v>360</v>
      </c>
      <c r="J44" s="672"/>
      <c r="K44" s="256"/>
    </row>
    <row r="45" spans="1:11" ht="15" customHeight="1" x14ac:dyDescent="0.2">
      <c r="A45" s="1103"/>
      <c r="B45" s="655" t="s">
        <v>584</v>
      </c>
      <c r="C45" s="657">
        <v>20000</v>
      </c>
      <c r="D45" s="214">
        <v>0.05</v>
      </c>
      <c r="E45" s="204">
        <v>4</v>
      </c>
      <c r="F45" s="205">
        <f>SUM(C45*E45)</f>
        <v>80000</v>
      </c>
      <c r="G45" s="671"/>
      <c r="H45" s="678">
        <v>0.05</v>
      </c>
      <c r="I45" s="704">
        <f>SUM(F45*H45)</f>
        <v>4000</v>
      </c>
      <c r="J45" s="672"/>
      <c r="K45" s="256"/>
    </row>
    <row r="46" spans="1:11" ht="15" customHeight="1" x14ac:dyDescent="0.2">
      <c r="A46" s="1103"/>
      <c r="B46" s="655" t="s">
        <v>583</v>
      </c>
      <c r="C46" s="657"/>
      <c r="D46" s="214">
        <v>0.05</v>
      </c>
      <c r="E46" s="657"/>
      <c r="F46" s="205">
        <v>22800</v>
      </c>
      <c r="G46" s="671"/>
      <c r="H46" s="678">
        <v>0.05</v>
      </c>
      <c r="I46" s="704">
        <f t="shared" ref="I46:I98" si="2">SUM(F46*H46)</f>
        <v>1140</v>
      </c>
      <c r="J46" s="672"/>
      <c r="K46" s="256"/>
    </row>
    <row r="47" spans="1:11" ht="15" customHeight="1" x14ac:dyDescent="0.2">
      <c r="A47" s="1104"/>
      <c r="B47" s="1101" t="s">
        <v>319</v>
      </c>
      <c r="C47" s="1101"/>
      <c r="D47" s="1101"/>
      <c r="E47" s="1101"/>
      <c r="F47" s="206">
        <f>SUM(F44:F46)</f>
        <v>110000</v>
      </c>
      <c r="G47" s="671"/>
      <c r="H47" s="678"/>
      <c r="I47" s="704"/>
      <c r="J47" s="672"/>
      <c r="K47" s="256"/>
    </row>
    <row r="48" spans="1:11" ht="15" customHeight="1" x14ac:dyDescent="0.2">
      <c r="A48" s="1102" t="s">
        <v>170</v>
      </c>
      <c r="B48" s="90" t="s">
        <v>621</v>
      </c>
      <c r="C48" s="666"/>
      <c r="D48" s="210">
        <v>0.27</v>
      </c>
      <c r="E48" s="204"/>
      <c r="F48" s="205">
        <v>500000</v>
      </c>
      <c r="G48" s="238" t="s">
        <v>608</v>
      </c>
      <c r="H48" s="673">
        <v>0.27</v>
      </c>
      <c r="I48" s="704">
        <f t="shared" si="2"/>
        <v>135000</v>
      </c>
    </row>
    <row r="49" spans="1:9" ht="15" customHeight="1" x14ac:dyDescent="0.2">
      <c r="A49" s="1103"/>
      <c r="B49" s="211" t="s">
        <v>320</v>
      </c>
      <c r="C49" s="109"/>
      <c r="D49" s="210">
        <v>0.27</v>
      </c>
      <c r="E49" s="109"/>
      <c r="F49" s="205">
        <v>300000</v>
      </c>
      <c r="H49" s="679">
        <v>0.27</v>
      </c>
      <c r="I49" s="704">
        <f t="shared" si="2"/>
        <v>81000</v>
      </c>
    </row>
    <row r="50" spans="1:9" ht="15" customHeight="1" x14ac:dyDescent="0.2">
      <c r="A50" s="1103"/>
      <c r="B50" s="211" t="s">
        <v>175</v>
      </c>
      <c r="C50" s="109"/>
      <c r="D50" s="210">
        <v>0.27</v>
      </c>
      <c r="E50" s="109"/>
      <c r="F50" s="205">
        <v>700000</v>
      </c>
      <c r="H50" s="679">
        <v>0.27</v>
      </c>
      <c r="I50" s="704">
        <f t="shared" si="2"/>
        <v>189000</v>
      </c>
    </row>
    <row r="51" spans="1:9" ht="15" customHeight="1" x14ac:dyDescent="0.2">
      <c r="A51" s="1103"/>
      <c r="B51" s="211" t="s">
        <v>585</v>
      </c>
      <c r="C51" s="109"/>
      <c r="D51" s="109"/>
      <c r="E51" s="109"/>
      <c r="F51" s="205">
        <v>300000</v>
      </c>
      <c r="H51" s="679">
        <v>0.27</v>
      </c>
      <c r="I51" s="704">
        <f t="shared" si="2"/>
        <v>81000</v>
      </c>
    </row>
    <row r="52" spans="1:9" ht="15" customHeight="1" x14ac:dyDescent="0.2">
      <c r="A52" s="1104"/>
      <c r="B52" s="1110" t="s">
        <v>322</v>
      </c>
      <c r="C52" s="1110"/>
      <c r="D52" s="1110"/>
      <c r="E52" s="1110"/>
      <c r="F52" s="206">
        <f>SUM(F48:F51)</f>
        <v>1800000</v>
      </c>
      <c r="I52" s="704">
        <f t="shared" si="2"/>
        <v>0</v>
      </c>
    </row>
    <row r="53" spans="1:9" ht="15" customHeight="1" x14ac:dyDescent="0.2">
      <c r="A53" s="1105" t="s">
        <v>184</v>
      </c>
      <c r="B53" s="653" t="s">
        <v>586</v>
      </c>
      <c r="C53" s="658">
        <v>100000</v>
      </c>
      <c r="D53" s="284"/>
      <c r="E53" s="658">
        <v>12</v>
      </c>
      <c r="F53" s="289">
        <f t="shared" ref="F53:F54" si="3">SUM(C53*E53)</f>
        <v>1200000</v>
      </c>
      <c r="H53" s="673" t="s">
        <v>588</v>
      </c>
      <c r="I53" s="704"/>
    </row>
    <row r="54" spans="1:9" ht="15" customHeight="1" x14ac:dyDescent="0.2">
      <c r="A54" s="1106"/>
      <c r="B54" s="653" t="s">
        <v>587</v>
      </c>
      <c r="C54" s="658">
        <v>4400</v>
      </c>
      <c r="D54" s="284">
        <v>0.27</v>
      </c>
      <c r="E54" s="658">
        <v>12</v>
      </c>
      <c r="F54" s="289">
        <f t="shared" si="3"/>
        <v>52800</v>
      </c>
      <c r="H54" s="673">
        <v>0.27</v>
      </c>
      <c r="I54" s="704">
        <f t="shared" si="2"/>
        <v>14256.000000000002</v>
      </c>
    </row>
    <row r="55" spans="1:9" ht="15" customHeight="1" x14ac:dyDescent="0.2">
      <c r="A55" s="1106"/>
      <c r="B55" s="653" t="s">
        <v>589</v>
      </c>
      <c r="C55" s="658">
        <v>12000</v>
      </c>
      <c r="D55" s="284">
        <v>0.05</v>
      </c>
      <c r="E55" s="658">
        <v>12</v>
      </c>
      <c r="F55" s="289">
        <f>SUM(C55*E55)</f>
        <v>144000</v>
      </c>
      <c r="H55" s="673">
        <v>0.05</v>
      </c>
      <c r="I55" s="704">
        <f t="shared" si="2"/>
        <v>7200</v>
      </c>
    </row>
    <row r="56" spans="1:9" ht="15" customHeight="1" x14ac:dyDescent="0.2">
      <c r="A56" s="1107"/>
      <c r="B56" s="1110" t="s">
        <v>323</v>
      </c>
      <c r="C56" s="1110"/>
      <c r="D56" s="1110">
        <v>0.05</v>
      </c>
      <c r="E56" s="1110"/>
      <c r="F56" s="206">
        <f>SUM(F53:F55)</f>
        <v>1396800</v>
      </c>
      <c r="I56" s="704"/>
    </row>
    <row r="57" spans="1:9" ht="15" customHeight="1" x14ac:dyDescent="0.2">
      <c r="A57" s="1105" t="s">
        <v>185</v>
      </c>
      <c r="B57" s="653" t="s">
        <v>590</v>
      </c>
      <c r="C57" s="658">
        <v>25000</v>
      </c>
      <c r="D57" s="284">
        <v>0.27</v>
      </c>
      <c r="E57" s="658">
        <v>12</v>
      </c>
      <c r="F57" s="289">
        <f>SUM(C57*E57)</f>
        <v>300000</v>
      </c>
      <c r="H57" s="673">
        <v>0.27</v>
      </c>
      <c r="I57" s="704">
        <f t="shared" si="2"/>
        <v>81000</v>
      </c>
    </row>
    <row r="58" spans="1:9" ht="15" customHeight="1" x14ac:dyDescent="0.2">
      <c r="A58" s="1107"/>
      <c r="B58" s="1110" t="s">
        <v>186</v>
      </c>
      <c r="C58" s="1110"/>
      <c r="D58" s="1110">
        <v>0.27</v>
      </c>
      <c r="E58" s="1110"/>
      <c r="F58" s="206">
        <f>SUM(F57)</f>
        <v>300000</v>
      </c>
      <c r="I58" s="704"/>
    </row>
    <row r="59" spans="1:9" ht="15" customHeight="1" x14ac:dyDescent="0.2">
      <c r="A59" s="89" t="s">
        <v>189</v>
      </c>
      <c r="B59" s="412" t="s">
        <v>270</v>
      </c>
      <c r="C59" s="414"/>
      <c r="D59" s="284">
        <v>0.27</v>
      </c>
      <c r="E59" s="414"/>
      <c r="F59" s="289">
        <v>600000</v>
      </c>
      <c r="I59" s="704">
        <f t="shared" si="2"/>
        <v>0</v>
      </c>
    </row>
    <row r="60" spans="1:9" ht="15" customHeight="1" x14ac:dyDescent="0.2">
      <c r="A60" s="89" t="s">
        <v>191</v>
      </c>
      <c r="B60" s="412" t="s">
        <v>271</v>
      </c>
      <c r="C60" s="414"/>
      <c r="D60" s="284">
        <v>0.27</v>
      </c>
      <c r="E60" s="414"/>
      <c r="F60" s="289">
        <v>1700000</v>
      </c>
      <c r="I60" s="704">
        <f t="shared" si="2"/>
        <v>0</v>
      </c>
    </row>
    <row r="61" spans="1:9" ht="15" customHeight="1" x14ac:dyDescent="0.2">
      <c r="A61" s="363" t="s">
        <v>405</v>
      </c>
      <c r="B61" s="454" t="s">
        <v>282</v>
      </c>
      <c r="C61" s="455"/>
      <c r="D61" s="284">
        <v>0.27</v>
      </c>
      <c r="E61" s="455"/>
      <c r="F61" s="289">
        <v>200000</v>
      </c>
      <c r="I61" s="704">
        <f t="shared" si="2"/>
        <v>0</v>
      </c>
    </row>
    <row r="62" spans="1:9" ht="15" customHeight="1" x14ac:dyDescent="0.2">
      <c r="A62" s="656" t="s">
        <v>187</v>
      </c>
      <c r="B62" s="1110" t="s">
        <v>290</v>
      </c>
      <c r="C62" s="1110"/>
      <c r="D62" s="1110"/>
      <c r="E62" s="1110"/>
      <c r="F62" s="206">
        <f>SUM(F59:F61)</f>
        <v>2500000</v>
      </c>
      <c r="I62" s="704"/>
    </row>
    <row r="63" spans="1:9" ht="15.95" customHeight="1" x14ac:dyDescent="0.2">
      <c r="A63" s="1143" t="s">
        <v>197</v>
      </c>
      <c r="B63" s="90" t="s">
        <v>591</v>
      </c>
      <c r="C63" s="109">
        <v>7500</v>
      </c>
      <c r="D63" s="214">
        <v>0.27</v>
      </c>
      <c r="E63" s="109">
        <v>12</v>
      </c>
      <c r="F63" s="205">
        <f>SUM(C63*E63)</f>
        <v>90000</v>
      </c>
      <c r="H63" s="673">
        <v>0.27</v>
      </c>
      <c r="I63" s="704">
        <f t="shared" si="2"/>
        <v>24300</v>
      </c>
    </row>
    <row r="64" spans="1:9" ht="15.95" customHeight="1" x14ac:dyDescent="0.2">
      <c r="A64" s="1143"/>
      <c r="B64" s="655" t="s">
        <v>592</v>
      </c>
      <c r="C64" s="657">
        <v>8000</v>
      </c>
      <c r="D64" s="214">
        <v>0.27</v>
      </c>
      <c r="E64" s="657">
        <v>4</v>
      </c>
      <c r="F64" s="205">
        <f>SUM(C64*E64)</f>
        <v>32000</v>
      </c>
      <c r="H64" s="673">
        <v>0.27</v>
      </c>
      <c r="I64" s="704">
        <f t="shared" si="2"/>
        <v>8640</v>
      </c>
    </row>
    <row r="65" spans="1:9" ht="15.95" customHeight="1" x14ac:dyDescent="0.2">
      <c r="A65" s="1143"/>
      <c r="B65" s="655" t="s">
        <v>593</v>
      </c>
      <c r="C65" s="657"/>
      <c r="D65" s="214"/>
      <c r="E65" s="657"/>
      <c r="F65" s="205">
        <v>28000</v>
      </c>
      <c r="H65" s="673">
        <v>0.27</v>
      </c>
      <c r="I65" s="704">
        <f t="shared" si="2"/>
        <v>7560.0000000000009</v>
      </c>
    </row>
    <row r="66" spans="1:9" ht="15.95" customHeight="1" x14ac:dyDescent="0.2">
      <c r="A66" s="1143"/>
      <c r="B66" s="1101" t="s">
        <v>324</v>
      </c>
      <c r="C66" s="1101"/>
      <c r="D66" s="1101"/>
      <c r="E66" s="1101"/>
      <c r="F66" s="206">
        <f>SUM(F63:F65)</f>
        <v>150000</v>
      </c>
      <c r="I66" s="704">
        <f t="shared" si="2"/>
        <v>0</v>
      </c>
    </row>
    <row r="67" spans="1:9" ht="15.95" customHeight="1" x14ac:dyDescent="0.2">
      <c r="A67" s="1105" t="s">
        <v>199</v>
      </c>
      <c r="B67" s="653" t="s">
        <v>594</v>
      </c>
      <c r="C67" s="456">
        <v>30000</v>
      </c>
      <c r="D67" s="284">
        <v>0.27</v>
      </c>
      <c r="E67" s="456">
        <v>12</v>
      </c>
      <c r="F67" s="289">
        <f>SUM(C67*E67)</f>
        <v>360000</v>
      </c>
      <c r="H67" s="673">
        <v>0.27</v>
      </c>
      <c r="I67" s="704">
        <f t="shared" si="2"/>
        <v>97200</v>
      </c>
    </row>
    <row r="68" spans="1:9" ht="15.95" customHeight="1" x14ac:dyDescent="0.2">
      <c r="A68" s="1106"/>
      <c r="B68" s="653" t="s">
        <v>595</v>
      </c>
      <c r="C68" s="456"/>
      <c r="D68" s="284"/>
      <c r="E68" s="456"/>
      <c r="F68" s="289">
        <v>100000</v>
      </c>
      <c r="H68" s="673">
        <v>0.27</v>
      </c>
      <c r="I68" s="704">
        <f t="shared" si="2"/>
        <v>27000</v>
      </c>
    </row>
    <row r="69" spans="1:9" ht="15.95" customHeight="1" x14ac:dyDescent="0.2">
      <c r="A69" s="1106"/>
      <c r="B69" s="716" t="s">
        <v>622</v>
      </c>
      <c r="C69" s="456"/>
      <c r="D69" s="284"/>
      <c r="E69" s="456"/>
      <c r="F69" s="289">
        <v>200000</v>
      </c>
      <c r="H69" s="673">
        <v>0.27</v>
      </c>
      <c r="I69" s="704">
        <f t="shared" si="2"/>
        <v>54000</v>
      </c>
    </row>
    <row r="70" spans="1:9" ht="15.95" customHeight="1" x14ac:dyDescent="0.2">
      <c r="A70" s="1107"/>
      <c r="B70" s="1101" t="s">
        <v>200</v>
      </c>
      <c r="C70" s="1101" t="s">
        <v>407</v>
      </c>
      <c r="D70" s="1101">
        <v>0.27</v>
      </c>
      <c r="E70" s="1101"/>
      <c r="F70" s="206">
        <f>SUM(F67:F69)</f>
        <v>660000</v>
      </c>
      <c r="I70" s="704"/>
    </row>
    <row r="71" spans="1:9" ht="15.95" customHeight="1" x14ac:dyDescent="0.2">
      <c r="A71" s="1105">
        <v>53351</v>
      </c>
      <c r="B71" s="716" t="s">
        <v>689</v>
      </c>
      <c r="C71" s="456"/>
      <c r="D71" s="284"/>
      <c r="E71" s="456"/>
      <c r="F71" s="289">
        <v>150000</v>
      </c>
      <c r="H71" s="673">
        <v>0.27</v>
      </c>
      <c r="I71" s="704">
        <f t="shared" si="2"/>
        <v>40500</v>
      </c>
    </row>
    <row r="72" spans="1:9" ht="15.95" customHeight="1" x14ac:dyDescent="0.2">
      <c r="A72" s="1106"/>
      <c r="B72" s="959" t="s">
        <v>690</v>
      </c>
      <c r="C72" s="456"/>
      <c r="D72" s="284"/>
      <c r="E72" s="456"/>
      <c r="F72" s="289">
        <v>30000</v>
      </c>
      <c r="H72" s="673">
        <v>0.27</v>
      </c>
      <c r="I72" s="704">
        <f t="shared" si="2"/>
        <v>8100.0000000000009</v>
      </c>
    </row>
    <row r="73" spans="1:9" ht="15.95" customHeight="1" x14ac:dyDescent="0.2">
      <c r="A73" s="1106"/>
      <c r="B73" s="959" t="s">
        <v>691</v>
      </c>
      <c r="C73" s="456"/>
      <c r="D73" s="284"/>
      <c r="E73" s="456"/>
      <c r="F73" s="289">
        <v>220000</v>
      </c>
      <c r="H73" s="673">
        <v>0.27</v>
      </c>
      <c r="I73" s="704">
        <f t="shared" si="2"/>
        <v>59400.000000000007</v>
      </c>
    </row>
    <row r="74" spans="1:9" ht="15.95" customHeight="1" x14ac:dyDescent="0.2">
      <c r="A74" s="1106"/>
      <c r="B74" s="716" t="s">
        <v>692</v>
      </c>
      <c r="C74" s="456"/>
      <c r="D74" s="284"/>
      <c r="E74" s="456"/>
      <c r="F74" s="289">
        <v>150000</v>
      </c>
      <c r="H74" s="673">
        <v>0.27</v>
      </c>
      <c r="I74" s="704">
        <f t="shared" si="2"/>
        <v>40500</v>
      </c>
    </row>
    <row r="75" spans="1:9" ht="15.95" customHeight="1" x14ac:dyDescent="0.2">
      <c r="A75" s="1106"/>
      <c r="B75" s="716" t="s">
        <v>697</v>
      </c>
      <c r="C75" s="456"/>
      <c r="D75" s="284"/>
      <c r="E75" s="456"/>
      <c r="F75" s="289">
        <v>170000</v>
      </c>
      <c r="H75" s="673">
        <v>0.27</v>
      </c>
      <c r="I75" s="704">
        <f t="shared" si="2"/>
        <v>45900</v>
      </c>
    </row>
    <row r="76" spans="1:9" ht="15.95" customHeight="1" x14ac:dyDescent="0.2">
      <c r="A76" s="1106"/>
      <c r="B76" s="959" t="s">
        <v>698</v>
      </c>
      <c r="C76" s="456"/>
      <c r="D76" s="284"/>
      <c r="E76" s="456"/>
      <c r="F76" s="289">
        <v>50000</v>
      </c>
      <c r="H76" s="673">
        <v>0.27</v>
      </c>
      <c r="I76" s="704">
        <f t="shared" si="2"/>
        <v>13500</v>
      </c>
    </row>
    <row r="77" spans="1:9" ht="15.95" customHeight="1" x14ac:dyDescent="0.2">
      <c r="A77" s="1106"/>
      <c r="B77" s="716" t="s">
        <v>694</v>
      </c>
      <c r="C77" s="456"/>
      <c r="D77" s="284"/>
      <c r="E77" s="456"/>
      <c r="F77" s="289">
        <v>200000</v>
      </c>
      <c r="H77" s="673">
        <v>0.27</v>
      </c>
      <c r="I77" s="704">
        <f t="shared" si="2"/>
        <v>54000</v>
      </c>
    </row>
    <row r="78" spans="1:9" ht="15.95" customHeight="1" x14ac:dyDescent="0.2">
      <c r="A78" s="1106"/>
      <c r="B78" s="959" t="s">
        <v>695</v>
      </c>
      <c r="C78" s="456"/>
      <c r="D78" s="284"/>
      <c r="E78" s="456"/>
      <c r="F78" s="289">
        <v>100000</v>
      </c>
      <c r="H78" s="673">
        <v>0.27</v>
      </c>
      <c r="I78" s="704">
        <f t="shared" si="2"/>
        <v>27000</v>
      </c>
    </row>
    <row r="79" spans="1:9" ht="15.95" customHeight="1" x14ac:dyDescent="0.2">
      <c r="A79" s="1106"/>
      <c r="B79" s="959" t="s">
        <v>696</v>
      </c>
      <c r="C79" s="456"/>
      <c r="D79" s="284"/>
      <c r="E79" s="456"/>
      <c r="F79" s="289">
        <v>500000</v>
      </c>
      <c r="H79" s="673">
        <v>0.27</v>
      </c>
      <c r="I79" s="704">
        <f t="shared" si="2"/>
        <v>135000</v>
      </c>
    </row>
    <row r="80" spans="1:9" ht="15.95" customHeight="1" x14ac:dyDescent="0.2">
      <c r="A80" s="1106"/>
      <c r="B80" s="716" t="s">
        <v>693</v>
      </c>
      <c r="C80" s="456"/>
      <c r="D80" s="284"/>
      <c r="E80" s="456"/>
      <c r="F80" s="289">
        <v>120000</v>
      </c>
      <c r="H80" s="673">
        <v>0.27</v>
      </c>
      <c r="I80" s="704">
        <f t="shared" si="2"/>
        <v>32400.000000000004</v>
      </c>
    </row>
    <row r="81" spans="1:10" ht="15.95" customHeight="1" x14ac:dyDescent="0.2">
      <c r="A81" s="1106"/>
      <c r="B81" s="959" t="s">
        <v>699</v>
      </c>
      <c r="C81" s="456">
        <v>50000</v>
      </c>
      <c r="D81" s="731"/>
      <c r="E81" s="456">
        <v>12</v>
      </c>
      <c r="F81" s="289">
        <v>3000000</v>
      </c>
      <c r="I81" s="704"/>
    </row>
    <row r="82" spans="1:10" ht="15.95" customHeight="1" x14ac:dyDescent="0.2">
      <c r="A82" s="1106"/>
      <c r="B82" s="716" t="s">
        <v>610</v>
      </c>
      <c r="C82" s="456"/>
      <c r="D82" s="731"/>
      <c r="E82" s="456"/>
      <c r="F82" s="289">
        <v>500000</v>
      </c>
      <c r="I82" s="704"/>
    </row>
    <row r="83" spans="1:10" ht="15.95" customHeight="1" x14ac:dyDescent="0.2">
      <c r="A83" s="1107"/>
      <c r="B83" s="1101" t="s">
        <v>400</v>
      </c>
      <c r="C83" s="1101" t="s">
        <v>408</v>
      </c>
      <c r="D83" s="1101">
        <v>0.27</v>
      </c>
      <c r="E83" s="1101"/>
      <c r="F83" s="206">
        <f>SUM(F71:F82)</f>
        <v>5190000</v>
      </c>
      <c r="I83" s="704"/>
    </row>
    <row r="84" spans="1:10" ht="15" customHeight="1" x14ac:dyDescent="0.2">
      <c r="A84" s="1103" t="s">
        <v>201</v>
      </c>
      <c r="B84" s="211" t="s">
        <v>325</v>
      </c>
      <c r="C84" s="109">
        <v>324000</v>
      </c>
      <c r="D84" s="214">
        <v>0.27</v>
      </c>
      <c r="E84" s="109">
        <v>4</v>
      </c>
      <c r="F84" s="205">
        <f>SUM(C84*E84)</f>
        <v>1296000</v>
      </c>
      <c r="H84" s="673">
        <v>0.27</v>
      </c>
      <c r="I84" s="704">
        <f t="shared" si="2"/>
        <v>349920</v>
      </c>
    </row>
    <row r="85" spans="1:10" ht="15" customHeight="1" x14ac:dyDescent="0.2">
      <c r="A85" s="1103"/>
      <c r="B85" s="215" t="s">
        <v>700</v>
      </c>
      <c r="C85" s="109">
        <v>240000</v>
      </c>
      <c r="D85" s="214">
        <v>0.27</v>
      </c>
      <c r="E85" s="109">
        <v>4</v>
      </c>
      <c r="F85" s="205">
        <f>SUM(C85*E85)</f>
        <v>960000</v>
      </c>
      <c r="I85" s="704">
        <f t="shared" si="2"/>
        <v>0</v>
      </c>
    </row>
    <row r="86" spans="1:10" ht="15" customHeight="1" x14ac:dyDescent="0.2">
      <c r="A86" s="1103"/>
      <c r="B86" s="576" t="s">
        <v>326</v>
      </c>
      <c r="C86" s="562"/>
      <c r="D86" s="284">
        <v>0.27</v>
      </c>
      <c r="E86" s="562"/>
      <c r="F86" s="289">
        <v>400000</v>
      </c>
      <c r="I86" s="704">
        <f t="shared" si="2"/>
        <v>0</v>
      </c>
    </row>
    <row r="87" spans="1:10" ht="15" customHeight="1" x14ac:dyDescent="0.2">
      <c r="A87" s="1104"/>
      <c r="B87" s="1110" t="s">
        <v>327</v>
      </c>
      <c r="C87" s="1110"/>
      <c r="D87" s="1110"/>
      <c r="E87" s="1110"/>
      <c r="F87" s="206">
        <f>SUM(F84:F86)</f>
        <v>2656000</v>
      </c>
      <c r="I87" s="704">
        <f t="shared" si="2"/>
        <v>0</v>
      </c>
    </row>
    <row r="88" spans="1:10" ht="15" customHeight="1" x14ac:dyDescent="0.2">
      <c r="A88" s="1105" t="s">
        <v>205</v>
      </c>
      <c r="B88" s="211" t="s">
        <v>596</v>
      </c>
      <c r="C88" s="109">
        <v>5000</v>
      </c>
      <c r="D88" s="109" t="s">
        <v>588</v>
      </c>
      <c r="E88" s="109">
        <v>12</v>
      </c>
      <c r="F88" s="205">
        <f>SUM(C88*E88)</f>
        <v>60000</v>
      </c>
      <c r="I88" s="704">
        <f t="shared" si="2"/>
        <v>0</v>
      </c>
    </row>
    <row r="89" spans="1:10" ht="15" customHeight="1" x14ac:dyDescent="0.2">
      <c r="A89" s="1106"/>
      <c r="B89" s="211" t="s">
        <v>207</v>
      </c>
      <c r="C89" s="109">
        <v>70000</v>
      </c>
      <c r="D89" s="109"/>
      <c r="E89" s="109">
        <v>4</v>
      </c>
      <c r="F89" s="205">
        <f>SUM(C89*E89)</f>
        <v>280000</v>
      </c>
      <c r="I89" s="704">
        <f t="shared" si="2"/>
        <v>0</v>
      </c>
      <c r="J89" s="114"/>
    </row>
    <row r="90" spans="1:10" ht="15" customHeight="1" x14ac:dyDescent="0.2">
      <c r="A90" s="1106"/>
      <c r="B90" s="360" t="s">
        <v>352</v>
      </c>
      <c r="C90" s="364">
        <v>14000</v>
      </c>
      <c r="D90" s="214">
        <v>0.27</v>
      </c>
      <c r="E90" s="364">
        <v>4</v>
      </c>
      <c r="F90" s="205">
        <f>SUM(C90*E90)</f>
        <v>56000</v>
      </c>
      <c r="H90" s="673">
        <v>0.27</v>
      </c>
      <c r="I90" s="704">
        <f t="shared" si="2"/>
        <v>15120.000000000002</v>
      </c>
      <c r="J90" s="114"/>
    </row>
    <row r="91" spans="1:10" ht="15" customHeight="1" x14ac:dyDescent="0.2">
      <c r="A91" s="1106"/>
      <c r="B91" s="861" t="s">
        <v>642</v>
      </c>
      <c r="C91" s="864">
        <v>270000</v>
      </c>
      <c r="D91" s="214">
        <v>0.27</v>
      </c>
      <c r="E91" s="864">
        <v>4</v>
      </c>
      <c r="F91" s="205">
        <f>SUM(C91*E91)</f>
        <v>1080000</v>
      </c>
      <c r="H91" s="673">
        <v>0.27</v>
      </c>
      <c r="I91" s="704">
        <f t="shared" si="2"/>
        <v>291600</v>
      </c>
      <c r="J91" s="114"/>
    </row>
    <row r="92" spans="1:10" ht="15" customHeight="1" x14ac:dyDescent="0.2">
      <c r="A92" s="1106"/>
      <c r="B92" s="211" t="s">
        <v>208</v>
      </c>
      <c r="C92" s="109"/>
      <c r="D92" s="204" t="s">
        <v>328</v>
      </c>
      <c r="E92" s="109"/>
      <c r="F92" s="205">
        <v>80000</v>
      </c>
      <c r="I92" s="704">
        <f t="shared" si="2"/>
        <v>0</v>
      </c>
    </row>
    <row r="93" spans="1:10" ht="15" customHeight="1" x14ac:dyDescent="0.2">
      <c r="A93" s="1106"/>
      <c r="B93" s="216" t="s">
        <v>612</v>
      </c>
      <c r="C93" s="109">
        <v>130000</v>
      </c>
      <c r="D93" s="204" t="s">
        <v>328</v>
      </c>
      <c r="E93" s="109">
        <v>2</v>
      </c>
      <c r="F93" s="205">
        <f>SUM(C93*E93)</f>
        <v>260000</v>
      </c>
      <c r="I93" s="704">
        <f t="shared" si="2"/>
        <v>0</v>
      </c>
    </row>
    <row r="94" spans="1:10" ht="15" customHeight="1" x14ac:dyDescent="0.2">
      <c r="A94" s="1106"/>
      <c r="B94" s="216" t="s">
        <v>613</v>
      </c>
      <c r="C94" s="109">
        <v>54000</v>
      </c>
      <c r="D94" s="204" t="s">
        <v>328</v>
      </c>
      <c r="E94" s="109">
        <v>1</v>
      </c>
      <c r="F94" s="205">
        <f>SUM(C94*E94)</f>
        <v>54000</v>
      </c>
      <c r="I94" s="704">
        <f t="shared" si="2"/>
        <v>0</v>
      </c>
    </row>
    <row r="95" spans="1:10" ht="15" customHeight="1" x14ac:dyDescent="0.2">
      <c r="A95" s="1106"/>
      <c r="B95" s="211" t="s">
        <v>611</v>
      </c>
      <c r="C95" s="109"/>
      <c r="D95" s="204" t="s">
        <v>328</v>
      </c>
      <c r="E95" s="109"/>
      <c r="F95" s="205">
        <v>1300000</v>
      </c>
      <c r="I95" s="704">
        <f t="shared" si="2"/>
        <v>0</v>
      </c>
    </row>
    <row r="96" spans="1:10" ht="15" customHeight="1" x14ac:dyDescent="0.2">
      <c r="A96" s="1106"/>
      <c r="B96" s="718" t="s">
        <v>614</v>
      </c>
      <c r="C96" s="721"/>
      <c r="D96" s="214">
        <v>0.27</v>
      </c>
      <c r="E96" s="721"/>
      <c r="F96" s="205">
        <v>1850000</v>
      </c>
      <c r="H96" s="673">
        <v>0.27</v>
      </c>
      <c r="I96" s="704">
        <f>SUM(F96*H96)</f>
        <v>499500.00000000006</v>
      </c>
    </row>
    <row r="97" spans="1:11" ht="15" customHeight="1" x14ac:dyDescent="0.2">
      <c r="A97" s="1107"/>
      <c r="B97" s="212" t="s">
        <v>329</v>
      </c>
      <c r="C97" s="208"/>
      <c r="D97" s="208"/>
      <c r="E97" s="208"/>
      <c r="F97" s="206">
        <f>SUM(F88:F96)</f>
        <v>5020000</v>
      </c>
      <c r="I97" s="704">
        <f t="shared" si="2"/>
        <v>0</v>
      </c>
    </row>
    <row r="98" spans="1:11" ht="15" customHeight="1" x14ac:dyDescent="0.2">
      <c r="A98" s="104" t="s">
        <v>272</v>
      </c>
      <c r="B98" s="981" t="s">
        <v>409</v>
      </c>
      <c r="C98" s="208"/>
      <c r="D98" s="208"/>
      <c r="E98" s="208"/>
      <c r="F98" s="206">
        <v>100000</v>
      </c>
      <c r="I98" s="704">
        <f t="shared" si="2"/>
        <v>0</v>
      </c>
    </row>
    <row r="99" spans="1:11" ht="18" customHeight="1" x14ac:dyDescent="0.2">
      <c r="A99" s="980" t="s">
        <v>213</v>
      </c>
      <c r="B99" s="1101" t="s">
        <v>330</v>
      </c>
      <c r="C99" s="1101"/>
      <c r="D99" s="1101"/>
      <c r="E99" s="1101"/>
      <c r="F99" s="206">
        <v>2500000</v>
      </c>
      <c r="G99" s="219"/>
      <c r="H99" s="680" t="s">
        <v>331</v>
      </c>
      <c r="I99" s="979">
        <f>SUM(I44:I98)</f>
        <v>2425096</v>
      </c>
      <c r="K99" s="114"/>
    </row>
    <row r="100" spans="1:11" ht="18" customHeight="1" x14ac:dyDescent="0.2">
      <c r="A100" s="89" t="s">
        <v>215</v>
      </c>
      <c r="B100" s="588" t="s">
        <v>216</v>
      </c>
      <c r="C100" s="311"/>
      <c r="D100" s="311"/>
      <c r="E100" s="311"/>
      <c r="F100" s="291">
        <v>2500000</v>
      </c>
      <c r="G100" s="577"/>
    </row>
    <row r="101" spans="1:11" ht="17.25" customHeight="1" x14ac:dyDescent="0.2">
      <c r="A101" s="89" t="s">
        <v>217</v>
      </c>
      <c r="B101" s="729" t="s">
        <v>218</v>
      </c>
      <c r="C101" s="311"/>
      <c r="D101" s="311"/>
      <c r="E101" s="311"/>
      <c r="F101" s="291">
        <v>10000</v>
      </c>
    </row>
    <row r="102" spans="1:11" ht="18" customHeight="1" x14ac:dyDescent="0.2">
      <c r="A102" s="89" t="s">
        <v>219</v>
      </c>
      <c r="B102" s="1111" t="s">
        <v>220</v>
      </c>
      <c r="C102" s="1111"/>
      <c r="D102" s="1111"/>
      <c r="E102" s="1111"/>
      <c r="F102" s="1111"/>
    </row>
    <row r="103" spans="1:11" ht="18" customHeight="1" x14ac:dyDescent="0.2">
      <c r="A103" s="358"/>
      <c r="B103" s="454" t="s">
        <v>615</v>
      </c>
      <c r="C103" s="454">
        <v>52800</v>
      </c>
      <c r="D103" s="454"/>
      <c r="E103" s="454">
        <v>4</v>
      </c>
      <c r="F103" s="289">
        <f>SUM(C103*E103)</f>
        <v>211200</v>
      </c>
    </row>
    <row r="104" spans="1:11" ht="18" customHeight="1" x14ac:dyDescent="0.2">
      <c r="A104" s="715"/>
      <c r="B104" s="724" t="s">
        <v>614</v>
      </c>
      <c r="C104" s="724"/>
      <c r="D104" s="724"/>
      <c r="E104" s="724"/>
      <c r="F104" s="289">
        <v>8800</v>
      </c>
    </row>
    <row r="105" spans="1:11" ht="18" customHeight="1" x14ac:dyDescent="0.2">
      <c r="A105" s="117" t="s">
        <v>332</v>
      </c>
      <c r="B105" s="1112" t="s">
        <v>333</v>
      </c>
      <c r="C105" s="1112"/>
      <c r="D105" s="1112"/>
      <c r="E105" s="1112"/>
      <c r="F105" s="291">
        <f>SUM(F103:F104)</f>
        <v>220000</v>
      </c>
    </row>
    <row r="106" spans="1:11" ht="18" customHeight="1" x14ac:dyDescent="0.2">
      <c r="A106" s="105" t="s">
        <v>221</v>
      </c>
      <c r="B106" s="412" t="s">
        <v>222</v>
      </c>
      <c r="C106" s="414"/>
      <c r="D106" s="414"/>
      <c r="E106" s="414"/>
      <c r="F106" s="288"/>
    </row>
    <row r="107" spans="1:11" ht="30.75" customHeight="1" x14ac:dyDescent="0.2">
      <c r="A107" s="89" t="s">
        <v>236</v>
      </c>
      <c r="B107" s="90" t="s">
        <v>237</v>
      </c>
      <c r="C107" s="109"/>
      <c r="D107" s="109"/>
      <c r="E107" s="109"/>
      <c r="F107" s="205"/>
    </row>
    <row r="108" spans="1:11" ht="18" customHeight="1" x14ac:dyDescent="0.2">
      <c r="A108" s="1053" t="s">
        <v>233</v>
      </c>
      <c r="B108" s="1111" t="s">
        <v>274</v>
      </c>
      <c r="C108" s="1111"/>
      <c r="D108" s="1111"/>
      <c r="E108" s="1111"/>
      <c r="F108" s="1111"/>
    </row>
    <row r="109" spans="1:11" ht="19.5" customHeight="1" x14ac:dyDescent="0.2">
      <c r="A109" s="1053"/>
      <c r="B109" s="90"/>
      <c r="C109" s="109"/>
      <c r="D109" s="109"/>
      <c r="E109" s="109"/>
      <c r="F109" s="205">
        <v>0</v>
      </c>
    </row>
    <row r="110" spans="1:11" ht="19.5" customHeight="1" x14ac:dyDescent="0.2">
      <c r="A110" s="1053"/>
      <c r="B110" s="1100" t="s">
        <v>334</v>
      </c>
      <c r="C110" s="1100"/>
      <c r="D110" s="1100"/>
      <c r="E110" s="1100"/>
      <c r="F110" s="288">
        <f>F109</f>
        <v>0</v>
      </c>
    </row>
    <row r="111" spans="1:11" ht="23.25" customHeight="1" x14ac:dyDescent="0.2">
      <c r="A111" s="105" t="s">
        <v>239</v>
      </c>
      <c r="B111" s="95" t="s">
        <v>240</v>
      </c>
      <c r="C111" s="98"/>
      <c r="D111" s="98"/>
      <c r="E111" s="98"/>
      <c r="F111" s="197"/>
      <c r="H111" s="681"/>
    </row>
    <row r="112" spans="1:11" ht="15.95" customHeight="1" x14ac:dyDescent="0.2">
      <c r="A112" s="1113" t="s">
        <v>35</v>
      </c>
      <c r="B112" s="1114" t="s">
        <v>276</v>
      </c>
      <c r="C112" s="1114"/>
      <c r="D112" s="1114"/>
      <c r="E112" s="1114"/>
      <c r="F112" s="432">
        <v>9749307</v>
      </c>
      <c r="G112" s="415"/>
      <c r="H112" s="681"/>
      <c r="I112" s="694"/>
    </row>
    <row r="113" spans="1:10" ht="15.95" customHeight="1" x14ac:dyDescent="0.2">
      <c r="A113" s="1113"/>
      <c r="B113" s="1115" t="s">
        <v>335</v>
      </c>
      <c r="C113" s="1115"/>
      <c r="D113" s="1115"/>
      <c r="E113" s="1115"/>
      <c r="F113" s="1115"/>
    </row>
    <row r="114" spans="1:10" ht="15.95" customHeight="1" x14ac:dyDescent="0.2">
      <c r="A114" s="1113"/>
      <c r="B114" s="1099" t="s">
        <v>713</v>
      </c>
      <c r="C114" s="1099"/>
      <c r="D114" s="1099"/>
      <c r="E114" s="1099"/>
      <c r="F114" s="289">
        <v>106304720</v>
      </c>
    </row>
    <row r="115" spans="1:10" ht="15.95" customHeight="1" x14ac:dyDescent="0.2">
      <c r="A115" s="1113"/>
      <c r="B115" s="1099" t="s">
        <v>525</v>
      </c>
      <c r="C115" s="1099"/>
      <c r="D115" s="1099"/>
      <c r="E115" s="1099"/>
      <c r="F115" s="205">
        <v>48529410</v>
      </c>
    </row>
    <row r="116" spans="1:10" ht="15.95" customHeight="1" x14ac:dyDescent="0.2">
      <c r="A116" s="1113"/>
      <c r="B116" s="1099" t="s">
        <v>630</v>
      </c>
      <c r="C116" s="1099"/>
      <c r="D116" s="1099"/>
      <c r="E116" s="1099"/>
      <c r="F116" s="578">
        <v>3553131</v>
      </c>
    </row>
    <row r="117" spans="1:10" ht="15.95" customHeight="1" x14ac:dyDescent="0.2">
      <c r="A117" s="1113"/>
      <c r="B117" s="1099" t="s">
        <v>714</v>
      </c>
      <c r="C117" s="1099"/>
      <c r="D117" s="1099"/>
      <c r="E117" s="1099"/>
      <c r="F117" s="309">
        <v>9000000</v>
      </c>
    </row>
    <row r="118" spans="1:10" ht="15.95" customHeight="1" x14ac:dyDescent="0.2">
      <c r="A118" s="1113"/>
      <c r="B118" s="1099" t="s">
        <v>723</v>
      </c>
      <c r="C118" s="1099"/>
      <c r="D118" s="1099"/>
      <c r="E118" s="1099"/>
      <c r="F118" s="309">
        <v>1500000</v>
      </c>
    </row>
    <row r="119" spans="1:10" ht="15.95" customHeight="1" x14ac:dyDescent="0.2">
      <c r="A119" s="1113"/>
      <c r="B119" s="1099" t="s">
        <v>737</v>
      </c>
      <c r="C119" s="1099"/>
      <c r="D119" s="1099"/>
      <c r="E119" s="1099"/>
      <c r="F119" s="309">
        <v>19545300</v>
      </c>
    </row>
    <row r="120" spans="1:10" ht="15.95" customHeight="1" x14ac:dyDescent="0.2">
      <c r="A120" s="1113"/>
      <c r="B120" s="1099" t="s">
        <v>716</v>
      </c>
      <c r="C120" s="1099"/>
      <c r="D120" s="1099"/>
      <c r="E120" s="1099"/>
      <c r="F120" s="309">
        <v>6500000</v>
      </c>
    </row>
    <row r="121" spans="1:10" ht="15.95" customHeight="1" x14ac:dyDescent="0.2">
      <c r="A121" s="1113"/>
      <c r="B121" s="1099" t="s">
        <v>733</v>
      </c>
      <c r="C121" s="1099"/>
      <c r="D121" s="1099"/>
      <c r="E121" s="1099"/>
      <c r="F121" s="309">
        <v>167640</v>
      </c>
    </row>
    <row r="122" spans="1:10" ht="15.95" customHeight="1" x14ac:dyDescent="0.2">
      <c r="A122" s="1113"/>
      <c r="B122" s="1099" t="s">
        <v>735</v>
      </c>
      <c r="C122" s="1099"/>
      <c r="D122" s="1099"/>
      <c r="E122" s="1099"/>
      <c r="F122" s="309">
        <v>340200</v>
      </c>
    </row>
    <row r="123" spans="1:10" ht="15.95" customHeight="1" x14ac:dyDescent="0.2">
      <c r="A123" s="1113"/>
      <c r="B123" s="1099" t="s">
        <v>631</v>
      </c>
      <c r="C123" s="1099"/>
      <c r="D123" s="1099"/>
      <c r="E123" s="1099"/>
      <c r="F123" s="309">
        <v>256448</v>
      </c>
      <c r="G123" s="219">
        <f>SUM(F114:F123)</f>
        <v>195696849</v>
      </c>
    </row>
    <row r="124" spans="1:10" ht="15.95" customHeight="1" thickBot="1" x14ac:dyDescent="0.25">
      <c r="A124" s="1113"/>
      <c r="B124" s="458" t="s">
        <v>38</v>
      </c>
      <c r="C124" s="459"/>
      <c r="D124" s="459"/>
      <c r="E124" s="460"/>
      <c r="F124" s="461">
        <v>0</v>
      </c>
      <c r="G124" s="416"/>
    </row>
    <row r="125" spans="1:10" ht="15.95" customHeight="1" x14ac:dyDescent="0.2">
      <c r="A125" s="1113"/>
      <c r="B125" s="1139" t="s">
        <v>336</v>
      </c>
      <c r="C125" s="1139"/>
      <c r="D125" s="1139"/>
      <c r="E125" s="1139"/>
      <c r="F125" s="221">
        <f>F112+F124+F114+F115+F116+F117+F118+F120+F123+F121+F122+F119</f>
        <v>205446156</v>
      </c>
      <c r="G125" s="417"/>
    </row>
    <row r="126" spans="1:10" ht="24" customHeight="1" x14ac:dyDescent="0.2">
      <c r="A126" s="89" t="s">
        <v>243</v>
      </c>
      <c r="B126" s="1101" t="s">
        <v>483</v>
      </c>
      <c r="C126" s="1101" t="s">
        <v>482</v>
      </c>
      <c r="D126" s="1101">
        <v>0.27</v>
      </c>
      <c r="E126" s="1101"/>
      <c r="F126" s="224">
        <v>5200000</v>
      </c>
      <c r="G126" s="238" t="s">
        <v>644</v>
      </c>
      <c r="H126" s="681"/>
    </row>
    <row r="127" spans="1:10" ht="17.25" customHeight="1" x14ac:dyDescent="0.2">
      <c r="A127" s="89" t="s">
        <v>247</v>
      </c>
      <c r="B127" s="1101" t="s">
        <v>248</v>
      </c>
      <c r="C127" s="1101"/>
      <c r="D127" s="1101">
        <v>0.27</v>
      </c>
      <c r="E127" s="1101"/>
      <c r="F127" s="224">
        <v>150000</v>
      </c>
      <c r="G127" s="219"/>
    </row>
    <row r="128" spans="1:10" ht="17.25" customHeight="1" x14ac:dyDescent="0.2">
      <c r="A128" s="89" t="s">
        <v>249</v>
      </c>
      <c r="B128" s="1101" t="s">
        <v>250</v>
      </c>
      <c r="C128" s="1101"/>
      <c r="D128" s="1101">
        <v>0.27</v>
      </c>
      <c r="E128" s="1101"/>
      <c r="F128" s="224"/>
      <c r="G128" s="219"/>
      <c r="H128" s="875">
        <f>SUM(F126:F128)</f>
        <v>5350000</v>
      </c>
      <c r="I128" s="693">
        <v>0.27</v>
      </c>
      <c r="J128" s="123">
        <f>SUM(H128*I128)</f>
        <v>1444500</v>
      </c>
    </row>
    <row r="129" spans="1:15" x14ac:dyDescent="0.2">
      <c r="A129" s="105" t="s">
        <v>251</v>
      </c>
      <c r="B129" s="1101" t="s">
        <v>278</v>
      </c>
      <c r="C129" s="1101">
        <f>F126+F127+F128</f>
        <v>5350000</v>
      </c>
      <c r="D129" s="1101">
        <v>0.27</v>
      </c>
      <c r="E129" s="1101">
        <f>C129*D129</f>
        <v>1444500</v>
      </c>
      <c r="F129" s="224">
        <v>1450000</v>
      </c>
    </row>
    <row r="130" spans="1:15" ht="17.25" customHeight="1" x14ac:dyDescent="0.2">
      <c r="A130" s="105" t="s">
        <v>253</v>
      </c>
      <c r="B130" s="1111" t="s">
        <v>254</v>
      </c>
      <c r="C130" s="1111"/>
      <c r="D130" s="1111"/>
      <c r="E130" s="1111"/>
      <c r="F130" s="1111"/>
    </row>
    <row r="131" spans="1:15" ht="17.25" customHeight="1" x14ac:dyDescent="0.2">
      <c r="A131" s="207"/>
      <c r="B131" s="162"/>
      <c r="C131" s="98"/>
      <c r="D131" s="223">
        <v>0.27</v>
      </c>
      <c r="E131" s="98"/>
      <c r="F131" s="197">
        <v>0</v>
      </c>
      <c r="G131" s="285"/>
    </row>
    <row r="132" spans="1:15" ht="17.25" customHeight="1" x14ac:dyDescent="0.2">
      <c r="A132" s="153"/>
      <c r="B132" s="1101" t="s">
        <v>337</v>
      </c>
      <c r="C132" s="1101"/>
      <c r="D132" s="1101"/>
      <c r="E132" s="1101"/>
      <c r="F132" s="224">
        <f>SUM(F131:F131)</f>
        <v>0</v>
      </c>
      <c r="G132" s="225"/>
    </row>
    <row r="133" spans="1:15" x14ac:dyDescent="0.2">
      <c r="A133" s="104" t="s">
        <v>257</v>
      </c>
      <c r="B133" s="1101" t="s">
        <v>279</v>
      </c>
      <c r="C133" s="1101">
        <f>F132</f>
        <v>0</v>
      </c>
      <c r="D133" s="1101">
        <v>0.27</v>
      </c>
      <c r="E133" s="1101">
        <f>C133*D133</f>
        <v>0</v>
      </c>
      <c r="F133" s="224">
        <v>0</v>
      </c>
      <c r="H133" s="676"/>
    </row>
    <row r="134" spans="1:15" ht="27" customHeight="1" x14ac:dyDescent="0.2">
      <c r="A134" s="1132" t="s">
        <v>281</v>
      </c>
      <c r="B134" s="1132"/>
      <c r="C134" s="1132"/>
      <c r="D134" s="1132"/>
      <c r="E134" s="1132"/>
      <c r="F134" s="227">
        <f>F14+F15+F30+F38+F39+F43+F47+F52+F56+F58+F62+F66+F70+F83+F87+F97+F98+F99+F100+F101+F105+F107+F110+F111+F125+F126+F127+F128+F129+F132+F133</f>
        <v>263340776</v>
      </c>
      <c r="G134" s="219">
        <f>SUM(F134-'Kiadások COFOG szerint'!F58)</f>
        <v>0</v>
      </c>
    </row>
    <row r="135" spans="1:15" ht="26.25" customHeight="1" thickBot="1" x14ac:dyDescent="0.25">
      <c r="A135" s="1109" t="s">
        <v>121</v>
      </c>
      <c r="B135" s="1109"/>
      <c r="C135" s="1109"/>
      <c r="D135" s="1109"/>
      <c r="E135" s="1109"/>
      <c r="F135" s="1109"/>
    </row>
    <row r="136" spans="1:15" ht="19.5" customHeight="1" thickBot="1" x14ac:dyDescent="0.25">
      <c r="A136" s="1137" t="s">
        <v>46</v>
      </c>
      <c r="B136" s="1138" t="s">
        <v>47</v>
      </c>
      <c r="C136" s="1124">
        <v>2022</v>
      </c>
      <c r="D136" s="1124"/>
      <c r="E136" s="1124"/>
      <c r="F136" s="1124"/>
    </row>
    <row r="137" spans="1:15" ht="18" customHeight="1" thickBot="1" x14ac:dyDescent="0.25">
      <c r="A137" s="1137"/>
      <c r="B137" s="1138"/>
      <c r="C137" s="1125"/>
      <c r="D137" s="1125"/>
      <c r="E137" s="1125"/>
      <c r="F137" s="201" t="s">
        <v>520</v>
      </c>
    </row>
    <row r="138" spans="1:15" ht="15.95" customHeight="1" x14ac:dyDescent="0.2">
      <c r="A138" s="153" t="s">
        <v>170</v>
      </c>
      <c r="B138" s="1101" t="s">
        <v>171</v>
      </c>
      <c r="C138" s="1101"/>
      <c r="D138" s="1101">
        <v>0.27</v>
      </c>
      <c r="E138" s="1101"/>
      <c r="F138" s="206">
        <f>SUM(F139)</f>
        <v>50000</v>
      </c>
    </row>
    <row r="139" spans="1:15" ht="15.95" customHeight="1" x14ac:dyDescent="0.2">
      <c r="A139" s="153"/>
      <c r="B139" s="643" t="s">
        <v>614</v>
      </c>
      <c r="C139" s="453"/>
      <c r="D139" s="290"/>
      <c r="E139" s="453"/>
      <c r="F139" s="582">
        <v>50000</v>
      </c>
    </row>
    <row r="140" spans="1:15" ht="15.95" customHeight="1" x14ac:dyDescent="0.2">
      <c r="A140" s="89" t="s">
        <v>189</v>
      </c>
      <c r="B140" s="412" t="s">
        <v>270</v>
      </c>
      <c r="C140" s="414"/>
      <c r="D140" s="284"/>
      <c r="E140" s="414"/>
      <c r="F140" s="289"/>
      <c r="G140" s="400" t="s">
        <v>378</v>
      </c>
      <c r="H140" s="682"/>
      <c r="I140" s="695"/>
      <c r="J140" s="401"/>
      <c r="K140" s="580">
        <v>719000</v>
      </c>
      <c r="L140" s="400" t="s">
        <v>376</v>
      </c>
      <c r="M140" s="579"/>
      <c r="O140" s="579"/>
    </row>
    <row r="141" spans="1:15" ht="15.95" customHeight="1" x14ac:dyDescent="0.2">
      <c r="A141" s="89" t="s">
        <v>193</v>
      </c>
      <c r="B141" s="1101" t="s">
        <v>282</v>
      </c>
      <c r="C141" s="1101"/>
      <c r="D141" s="1101">
        <v>0.27</v>
      </c>
      <c r="E141" s="1101"/>
      <c r="F141" s="206">
        <v>0</v>
      </c>
      <c r="G141" s="219"/>
    </row>
    <row r="142" spans="1:15" ht="15.95" customHeight="1" x14ac:dyDescent="0.2">
      <c r="A142" s="1144" t="s">
        <v>199</v>
      </c>
      <c r="B142" s="1111" t="s">
        <v>200</v>
      </c>
      <c r="C142" s="1111"/>
      <c r="D142" s="1111"/>
      <c r="E142" s="1111"/>
      <c r="F142" s="1111"/>
      <c r="G142" s="219"/>
    </row>
    <row r="143" spans="1:15" ht="15.95" customHeight="1" x14ac:dyDescent="0.2">
      <c r="A143" s="1144"/>
      <c r="B143" s="90" t="s">
        <v>580</v>
      </c>
      <c r="C143" s="109"/>
      <c r="D143" s="109"/>
      <c r="E143" s="109"/>
      <c r="F143" s="205"/>
      <c r="G143" s="219"/>
    </row>
    <row r="144" spans="1:15" ht="15.95" customHeight="1" x14ac:dyDescent="0.2">
      <c r="A144" s="1144"/>
      <c r="B144" s="747" t="s">
        <v>581</v>
      </c>
      <c r="C144" s="203"/>
      <c r="D144" s="203"/>
      <c r="E144" s="203"/>
      <c r="F144" s="748"/>
      <c r="G144" s="219"/>
    </row>
    <row r="145" spans="1:10" ht="15.95" customHeight="1" x14ac:dyDescent="0.2">
      <c r="A145" s="1144"/>
      <c r="B145" s="1101" t="s">
        <v>338</v>
      </c>
      <c r="C145" s="1101"/>
      <c r="D145" s="1101"/>
      <c r="E145" s="1101"/>
      <c r="F145" s="206">
        <v>200000</v>
      </c>
      <c r="G145" s="219"/>
    </row>
    <row r="146" spans="1:10" ht="15.95" customHeight="1" x14ac:dyDescent="0.2">
      <c r="A146" s="1143" t="s">
        <v>205</v>
      </c>
      <c r="B146" s="90" t="s">
        <v>206</v>
      </c>
      <c r="C146" s="109">
        <v>50000</v>
      </c>
      <c r="D146" s="214">
        <v>0.27</v>
      </c>
      <c r="E146" s="109">
        <v>12</v>
      </c>
      <c r="F146" s="205">
        <f>SUM(C146*E146)</f>
        <v>600000</v>
      </c>
      <c r="G146" s="219"/>
    </row>
    <row r="147" spans="1:10" ht="15.95" customHeight="1" x14ac:dyDescent="0.2">
      <c r="A147" s="1143"/>
      <c r="B147" s="1101" t="s">
        <v>329</v>
      </c>
      <c r="C147" s="1101"/>
      <c r="D147" s="1101"/>
      <c r="E147" s="1101"/>
      <c r="F147" s="206">
        <f>F146</f>
        <v>600000</v>
      </c>
      <c r="G147" s="219"/>
    </row>
    <row r="148" spans="1:10" ht="20.25" customHeight="1" x14ac:dyDescent="0.2">
      <c r="A148" s="89" t="s">
        <v>213</v>
      </c>
      <c r="B148" s="412" t="s">
        <v>273</v>
      </c>
      <c r="C148" s="414">
        <f>F138+F141+F145+F147</f>
        <v>850000</v>
      </c>
      <c r="D148" s="284">
        <v>0.27</v>
      </c>
      <c r="E148" s="414">
        <f>C148*D148</f>
        <v>229500.00000000003</v>
      </c>
      <c r="F148" s="291">
        <v>230000</v>
      </c>
      <c r="G148" s="228"/>
      <c r="J148" s="114"/>
    </row>
    <row r="149" spans="1:10" ht="19.5" customHeight="1" x14ac:dyDescent="0.2">
      <c r="A149" s="117" t="s">
        <v>249</v>
      </c>
      <c r="B149" s="1101" t="s">
        <v>283</v>
      </c>
      <c r="C149" s="1101"/>
      <c r="D149" s="1101"/>
      <c r="E149" s="1101"/>
      <c r="F149" s="206"/>
      <c r="G149" s="219"/>
    </row>
    <row r="150" spans="1:10" x14ac:dyDescent="0.2">
      <c r="A150" s="94" t="s">
        <v>251</v>
      </c>
      <c r="B150" s="1101" t="s">
        <v>273</v>
      </c>
      <c r="C150" s="1101"/>
      <c r="D150" s="1101"/>
      <c r="E150" s="1101"/>
      <c r="F150" s="206"/>
      <c r="G150" s="219"/>
    </row>
    <row r="151" spans="1:10" ht="19.5" customHeight="1" x14ac:dyDescent="0.2">
      <c r="A151" s="117" t="s">
        <v>253</v>
      </c>
      <c r="B151" s="1101" t="s">
        <v>355</v>
      </c>
      <c r="C151" s="1101"/>
      <c r="D151" s="1101">
        <v>0.27</v>
      </c>
      <c r="E151" s="1101"/>
      <c r="F151" s="206">
        <v>0</v>
      </c>
      <c r="G151" s="219"/>
    </row>
    <row r="152" spans="1:10" ht="23.25" customHeight="1" x14ac:dyDescent="0.2">
      <c r="A152" s="457" t="s">
        <v>257</v>
      </c>
      <c r="B152" s="1101" t="s">
        <v>279</v>
      </c>
      <c r="C152" s="1101">
        <f>F151</f>
        <v>0</v>
      </c>
      <c r="D152" s="1101">
        <v>0.27</v>
      </c>
      <c r="E152" s="1101"/>
      <c r="F152" s="206">
        <v>0</v>
      </c>
      <c r="G152" s="219"/>
    </row>
    <row r="153" spans="1:10" ht="21" customHeight="1" x14ac:dyDescent="0.2">
      <c r="A153" s="1132" t="s">
        <v>281</v>
      </c>
      <c r="B153" s="1132"/>
      <c r="C153" s="1132"/>
      <c r="D153" s="1132"/>
      <c r="E153" s="1132"/>
      <c r="F153" s="227">
        <f>F141+F145+F147+F148+F138+F151+F152+F149+F150</f>
        <v>1080000</v>
      </c>
      <c r="G153" s="219">
        <f>SUM(F153-'Kiadások COFOG szerint'!F73)</f>
        <v>0</v>
      </c>
    </row>
    <row r="154" spans="1:10" ht="26.25" customHeight="1" thickBot="1" x14ac:dyDescent="0.25">
      <c r="A154" s="1119" t="s">
        <v>284</v>
      </c>
      <c r="B154" s="1119"/>
      <c r="C154" s="1119"/>
      <c r="D154" s="1119"/>
      <c r="E154" s="1119"/>
      <c r="F154" s="1119"/>
    </row>
    <row r="155" spans="1:10" ht="17.25" customHeight="1" thickBot="1" x14ac:dyDescent="0.25">
      <c r="A155" s="1137" t="s">
        <v>46</v>
      </c>
      <c r="B155" s="1138" t="s">
        <v>47</v>
      </c>
      <c r="C155" s="1124">
        <v>2022</v>
      </c>
      <c r="D155" s="1124"/>
      <c r="E155" s="1124"/>
      <c r="F155" s="1124"/>
    </row>
    <row r="156" spans="1:10" ht="21.75" customHeight="1" thickBot="1" x14ac:dyDescent="0.25">
      <c r="A156" s="1137"/>
      <c r="B156" s="1138"/>
      <c r="C156" s="1125" t="s">
        <v>645</v>
      </c>
      <c r="D156" s="1125"/>
      <c r="E156" s="1125"/>
      <c r="F156" s="201" t="s">
        <v>520</v>
      </c>
    </row>
    <row r="157" spans="1:10" ht="15" customHeight="1" x14ac:dyDescent="0.2">
      <c r="A157" s="359" t="s">
        <v>170</v>
      </c>
      <c r="B157" s="154" t="s">
        <v>171</v>
      </c>
      <c r="C157" s="155">
        <v>40000</v>
      </c>
      <c r="D157" s="377">
        <v>0.27</v>
      </c>
      <c r="E157" s="155"/>
      <c r="F157" s="743">
        <v>40000</v>
      </c>
      <c r="H157" s="673">
        <v>0.27</v>
      </c>
      <c r="I157" s="80">
        <f>SUM(C157*D157)</f>
        <v>10800</v>
      </c>
    </row>
    <row r="158" spans="1:10" ht="15" customHeight="1" x14ac:dyDescent="0.2">
      <c r="A158" s="363" t="s">
        <v>189</v>
      </c>
      <c r="B158" s="90" t="s">
        <v>411</v>
      </c>
      <c r="C158" s="109">
        <v>300000</v>
      </c>
      <c r="D158" s="377">
        <v>0.27</v>
      </c>
      <c r="E158" s="109">
        <v>1</v>
      </c>
      <c r="F158" s="744">
        <f>SUM(C158)</f>
        <v>300000</v>
      </c>
      <c r="H158" s="673">
        <v>0.27</v>
      </c>
      <c r="I158" s="80">
        <f>SUM(C158*D158)</f>
        <v>81000</v>
      </c>
    </row>
    <row r="159" spans="1:10" ht="15" customHeight="1" x14ac:dyDescent="0.2">
      <c r="A159" s="363" t="s">
        <v>191</v>
      </c>
      <c r="B159" s="361" t="s">
        <v>412</v>
      </c>
      <c r="C159" s="364">
        <v>1200000</v>
      </c>
      <c r="D159" s="377">
        <v>0.27</v>
      </c>
      <c r="E159" s="364">
        <v>1</v>
      </c>
      <c r="F159" s="744">
        <f t="shared" ref="F159:F160" si="4">SUM(C159)</f>
        <v>1200000</v>
      </c>
      <c r="H159" s="673">
        <v>0.27</v>
      </c>
      <c r="I159" s="80">
        <f t="shared" ref="I159:I162" si="5">SUM(C159*D159)</f>
        <v>324000</v>
      </c>
    </row>
    <row r="160" spans="1:10" ht="15" customHeight="1" x14ac:dyDescent="0.2">
      <c r="A160" s="363" t="s">
        <v>193</v>
      </c>
      <c r="B160" s="361" t="s">
        <v>413</v>
      </c>
      <c r="C160" s="364">
        <v>100000</v>
      </c>
      <c r="D160" s="377">
        <v>0.27</v>
      </c>
      <c r="E160" s="364">
        <v>1</v>
      </c>
      <c r="F160" s="744">
        <f t="shared" si="4"/>
        <v>100000</v>
      </c>
      <c r="H160" s="673">
        <v>0.27</v>
      </c>
      <c r="I160" s="80">
        <f t="shared" si="5"/>
        <v>27000</v>
      </c>
    </row>
    <row r="161" spans="1:10" ht="15" customHeight="1" x14ac:dyDescent="0.2">
      <c r="A161" s="363" t="s">
        <v>199</v>
      </c>
      <c r="B161" s="90" t="s">
        <v>410</v>
      </c>
      <c r="C161" s="109">
        <v>150000</v>
      </c>
      <c r="D161" s="377">
        <v>0.27</v>
      </c>
      <c r="E161" s="109"/>
      <c r="F161" s="744">
        <v>150000</v>
      </c>
      <c r="I161" s="80">
        <f t="shared" si="5"/>
        <v>40500</v>
      </c>
    </row>
    <row r="162" spans="1:10" ht="15" customHeight="1" x14ac:dyDescent="0.2">
      <c r="A162" s="94" t="s">
        <v>205</v>
      </c>
      <c r="B162" s="95" t="s">
        <v>414</v>
      </c>
      <c r="C162" s="306">
        <v>150000</v>
      </c>
      <c r="D162" s="377">
        <v>0.27</v>
      </c>
      <c r="E162" s="306"/>
      <c r="F162" s="745">
        <v>150000</v>
      </c>
      <c r="H162" s="673">
        <v>0.27</v>
      </c>
      <c r="I162" s="80">
        <f t="shared" si="5"/>
        <v>40500</v>
      </c>
    </row>
    <row r="163" spans="1:10" ht="22.5" customHeight="1" x14ac:dyDescent="0.2">
      <c r="A163" s="94" t="s">
        <v>213</v>
      </c>
      <c r="B163" s="95" t="s">
        <v>273</v>
      </c>
      <c r="C163" s="98"/>
      <c r="D163" s="377">
        <v>0.27</v>
      </c>
      <c r="E163" s="98"/>
      <c r="F163" s="745">
        <v>524000</v>
      </c>
      <c r="I163" s="732">
        <f>SUM(I157:I162)</f>
        <v>523800</v>
      </c>
      <c r="J163" s="732"/>
    </row>
    <row r="164" spans="1:10" ht="15" customHeight="1" x14ac:dyDescent="0.2">
      <c r="A164" s="94" t="s">
        <v>245</v>
      </c>
      <c r="B164" s="95" t="s">
        <v>551</v>
      </c>
      <c r="C164" s="234" t="s">
        <v>552</v>
      </c>
      <c r="D164" s="377"/>
      <c r="E164" s="306"/>
      <c r="F164" s="745"/>
      <c r="I164" s="696"/>
      <c r="J164" s="591"/>
    </row>
    <row r="165" spans="1:10" ht="18" customHeight="1" x14ac:dyDescent="0.2">
      <c r="A165" s="94" t="s">
        <v>253</v>
      </c>
      <c r="B165" s="95" t="s">
        <v>355</v>
      </c>
      <c r="C165" s="306" t="s">
        <v>545</v>
      </c>
      <c r="D165" s="377">
        <v>0.27</v>
      </c>
      <c r="E165" s="306"/>
      <c r="F165" s="745">
        <v>365000</v>
      </c>
      <c r="I165" s="696"/>
      <c r="J165" s="586"/>
    </row>
    <row r="166" spans="1:10" ht="22.5" customHeight="1" thickBot="1" x14ac:dyDescent="0.25">
      <c r="A166" s="94" t="s">
        <v>257</v>
      </c>
      <c r="B166" s="95" t="s">
        <v>279</v>
      </c>
      <c r="C166" s="306"/>
      <c r="D166" s="377">
        <v>0.27</v>
      </c>
      <c r="E166" s="306"/>
      <c r="F166" s="745">
        <v>135000</v>
      </c>
      <c r="I166" s="696"/>
      <c r="J166" s="586"/>
    </row>
    <row r="167" spans="1:10" ht="19.5" customHeight="1" thickBot="1" x14ac:dyDescent="0.25">
      <c r="A167" s="1132" t="s">
        <v>281</v>
      </c>
      <c r="B167" s="1132"/>
      <c r="C167" s="1132"/>
      <c r="D167" s="1132"/>
      <c r="E167" s="1132"/>
      <c r="F167" s="227">
        <f>SUM(F157:F166)</f>
        <v>2964000</v>
      </c>
      <c r="G167" s="219">
        <f>SUM(F167-'Kiadások COFOG szerint'!F88)</f>
        <v>0</v>
      </c>
    </row>
    <row r="168" spans="1:10" ht="21.75" customHeight="1" thickBot="1" x14ac:dyDescent="0.25">
      <c r="A168" s="1119" t="s">
        <v>285</v>
      </c>
      <c r="B168" s="1119"/>
      <c r="C168" s="1119"/>
      <c r="D168" s="1119"/>
      <c r="E168" s="1119"/>
      <c r="F168" s="1119"/>
    </row>
    <row r="169" spans="1:10" ht="22.5" customHeight="1" thickBot="1" x14ac:dyDescent="0.25">
      <c r="A169" s="1121" t="s">
        <v>46</v>
      </c>
      <c r="B169" s="1123" t="s">
        <v>47</v>
      </c>
      <c r="C169" s="1124">
        <v>2022</v>
      </c>
      <c r="D169" s="1124"/>
      <c r="E169" s="1124"/>
      <c r="F169" s="1124"/>
    </row>
    <row r="170" spans="1:10" ht="22.5" customHeight="1" thickBot="1" x14ac:dyDescent="0.25">
      <c r="A170" s="1121"/>
      <c r="B170" s="1123"/>
      <c r="C170" s="1125"/>
      <c r="D170" s="1125"/>
      <c r="E170" s="1125"/>
      <c r="F170" s="201" t="s">
        <v>520</v>
      </c>
      <c r="I170" s="80"/>
    </row>
    <row r="171" spans="1:10" ht="15.95" customHeight="1" x14ac:dyDescent="0.2">
      <c r="A171" s="153" t="s">
        <v>156</v>
      </c>
      <c r="B171" s="1101" t="s">
        <v>157</v>
      </c>
      <c r="C171" s="1101"/>
      <c r="D171" s="1101">
        <v>0.27</v>
      </c>
      <c r="E171" s="1101"/>
      <c r="F171" s="224">
        <v>300000</v>
      </c>
      <c r="G171" s="219"/>
      <c r="H171" s="673">
        <v>0.27</v>
      </c>
      <c r="I171" s="80">
        <f>SUM(F171*D171)</f>
        <v>81000</v>
      </c>
    </row>
    <row r="172" spans="1:10" ht="15.95" customHeight="1" x14ac:dyDescent="0.2">
      <c r="A172" s="986" t="s">
        <v>316</v>
      </c>
      <c r="B172" s="984" t="s">
        <v>666</v>
      </c>
      <c r="C172" s="984"/>
      <c r="D172" s="990"/>
      <c r="E172" s="984"/>
      <c r="F172" s="392">
        <v>100000</v>
      </c>
      <c r="G172" s="219"/>
      <c r="I172" s="80"/>
    </row>
    <row r="173" spans="1:10" ht="15.95" customHeight="1" x14ac:dyDescent="0.2">
      <c r="A173" s="89" t="s">
        <v>170</v>
      </c>
      <c r="B173" s="564" t="s">
        <v>171</v>
      </c>
      <c r="C173" s="562"/>
      <c r="D173" s="290">
        <v>0.27</v>
      </c>
      <c r="E173" s="562"/>
      <c r="F173" s="289">
        <v>700000</v>
      </c>
      <c r="G173" s="285"/>
      <c r="H173" s="673">
        <v>0.27</v>
      </c>
      <c r="I173" s="80">
        <f t="shared" ref="I173:I176" si="6">SUM(F173*D173)</f>
        <v>189000</v>
      </c>
    </row>
    <row r="174" spans="1:10" ht="15.95" customHeight="1" x14ac:dyDescent="0.2">
      <c r="A174" s="89" t="s">
        <v>174</v>
      </c>
      <c r="B174" s="286" t="s">
        <v>173</v>
      </c>
      <c r="C174" s="287"/>
      <c r="D174" s="284">
        <v>0.27</v>
      </c>
      <c r="E174" s="287"/>
      <c r="F174" s="289"/>
      <c r="G174" s="219"/>
      <c r="H174" s="673">
        <v>0.27</v>
      </c>
      <c r="I174" s="80">
        <f t="shared" si="6"/>
        <v>0</v>
      </c>
    </row>
    <row r="175" spans="1:10" ht="15.95" customHeight="1" x14ac:dyDescent="0.2">
      <c r="A175" s="281" t="s">
        <v>170</v>
      </c>
      <c r="B175" s="1145" t="s">
        <v>322</v>
      </c>
      <c r="C175" s="1146"/>
      <c r="D175" s="1146"/>
      <c r="E175" s="1147"/>
      <c r="F175" s="291">
        <f>F173+F174</f>
        <v>700000</v>
      </c>
      <c r="G175" s="219"/>
      <c r="I175" s="80">
        <f t="shared" si="6"/>
        <v>0</v>
      </c>
    </row>
    <row r="176" spans="1:10" ht="15.95" customHeight="1" x14ac:dyDescent="0.2">
      <c r="A176" s="1053"/>
      <c r="B176" s="95" t="s">
        <v>415</v>
      </c>
      <c r="C176" s="98"/>
      <c r="D176" s="223">
        <v>0.27</v>
      </c>
      <c r="E176" s="98"/>
      <c r="F176" s="197">
        <v>600000</v>
      </c>
      <c r="G176" s="285"/>
      <c r="H176" s="673">
        <v>0.27</v>
      </c>
      <c r="I176" s="80">
        <f t="shared" si="6"/>
        <v>162000</v>
      </c>
    </row>
    <row r="177" spans="1:15" ht="15.95" customHeight="1" x14ac:dyDescent="0.2">
      <c r="A177" s="1053"/>
      <c r="B177" s="1101" t="s">
        <v>329</v>
      </c>
      <c r="C177" s="1101"/>
      <c r="D177" s="1101"/>
      <c r="E177" s="1101"/>
      <c r="F177" s="224">
        <f>SUM(F176:F176)</f>
        <v>600000</v>
      </c>
      <c r="I177" s="80"/>
    </row>
    <row r="178" spans="1:15" ht="15.95" customHeight="1" x14ac:dyDescent="0.2">
      <c r="A178" s="94" t="s">
        <v>294</v>
      </c>
      <c r="B178" s="390" t="s">
        <v>416</v>
      </c>
      <c r="C178" s="390"/>
      <c r="D178" s="390"/>
      <c r="E178" s="390"/>
      <c r="F178" s="746">
        <v>100000</v>
      </c>
      <c r="I178" s="80"/>
    </row>
    <row r="179" spans="1:15" ht="23.25" customHeight="1" thickBot="1" x14ac:dyDescent="0.25">
      <c r="A179" s="105" t="s">
        <v>213</v>
      </c>
      <c r="B179" s="390" t="s">
        <v>273</v>
      </c>
      <c r="C179" s="391">
        <f>F175+F177+F171</f>
        <v>1600000</v>
      </c>
      <c r="D179" s="389">
        <v>0.27</v>
      </c>
      <c r="E179" s="391">
        <f>C179*D179</f>
        <v>432000</v>
      </c>
      <c r="F179" s="746">
        <v>433000</v>
      </c>
      <c r="G179" s="219"/>
      <c r="I179" s="80">
        <f>SUM(I171:I178)</f>
        <v>432000</v>
      </c>
    </row>
    <row r="180" spans="1:15" ht="23.25" customHeight="1" thickBot="1" x14ac:dyDescent="0.25">
      <c r="A180" s="1132" t="s">
        <v>281</v>
      </c>
      <c r="B180" s="1132"/>
      <c r="C180" s="1132"/>
      <c r="D180" s="1132"/>
      <c r="E180" s="1132"/>
      <c r="F180" s="227">
        <f>F171+F175+F177+F179+F178+F172</f>
        <v>2233000</v>
      </c>
      <c r="G180" s="219">
        <f>SUM(F180-'Kiadások COFOG szerint'!F99)</f>
        <v>0</v>
      </c>
    </row>
    <row r="181" spans="1:15" ht="25.5" customHeight="1" thickBot="1" x14ac:dyDescent="0.25">
      <c r="A181" s="1197" t="s">
        <v>122</v>
      </c>
      <c r="B181" s="1198"/>
      <c r="C181" s="1198"/>
      <c r="D181" s="1198"/>
      <c r="E181" s="1198"/>
      <c r="F181" s="1199"/>
    </row>
    <row r="182" spans="1:15" ht="22.5" customHeight="1" thickBot="1" x14ac:dyDescent="0.25">
      <c r="A182" s="1120" t="s">
        <v>46</v>
      </c>
      <c r="B182" s="1122" t="s">
        <v>47</v>
      </c>
      <c r="C182" s="1124">
        <v>2022</v>
      </c>
      <c r="D182" s="1124"/>
      <c r="E182" s="1124"/>
      <c r="F182" s="1124"/>
    </row>
    <row r="183" spans="1:15" ht="24" customHeight="1" thickBot="1" x14ac:dyDescent="0.25">
      <c r="A183" s="1120"/>
      <c r="B183" s="1122"/>
      <c r="C183" s="1125"/>
      <c r="D183" s="1125"/>
      <c r="E183" s="1125"/>
      <c r="F183" s="201" t="s">
        <v>520</v>
      </c>
    </row>
    <row r="184" spans="1:15" x14ac:dyDescent="0.2">
      <c r="A184" s="609" t="s">
        <v>234</v>
      </c>
      <c r="B184" s="1101" t="s">
        <v>286</v>
      </c>
      <c r="C184" s="1101"/>
      <c r="D184" s="1101"/>
      <c r="E184" s="1101"/>
      <c r="F184" s="224">
        <v>0</v>
      </c>
      <c r="H184" s="676"/>
      <c r="J184" s="80"/>
    </row>
    <row r="185" spans="1:15" ht="13.5" thickBot="1" x14ac:dyDescent="0.25">
      <c r="A185" s="393" t="s">
        <v>41</v>
      </c>
      <c r="B185" s="1101" t="s">
        <v>261</v>
      </c>
      <c r="C185" s="1101"/>
      <c r="D185" s="1101"/>
      <c r="E185" s="1101"/>
      <c r="F185" s="224">
        <v>7740155</v>
      </c>
      <c r="G185" s="416"/>
    </row>
    <row r="186" spans="1:15" ht="22.5" customHeight="1" thickBot="1" x14ac:dyDescent="0.25">
      <c r="A186" s="1132" t="s">
        <v>281</v>
      </c>
      <c r="B186" s="1132"/>
      <c r="C186" s="1132"/>
      <c r="D186" s="1132"/>
      <c r="E186" s="1132"/>
      <c r="F186" s="227">
        <f>F184+F185</f>
        <v>7740155</v>
      </c>
      <c r="G186" s="219">
        <f>SUM(F186-'Kiadások COFOG szerint'!F105)</f>
        <v>0</v>
      </c>
    </row>
    <row r="187" spans="1:15" ht="23.25" customHeight="1" thickBot="1" x14ac:dyDescent="0.25">
      <c r="A187" s="1119" t="s">
        <v>339</v>
      </c>
      <c r="B187" s="1119"/>
      <c r="C187" s="1119"/>
      <c r="D187" s="1119"/>
      <c r="E187" s="1119"/>
      <c r="F187" s="1119"/>
    </row>
    <row r="188" spans="1:15" ht="19.5" customHeight="1" x14ac:dyDescent="0.2">
      <c r="A188" s="1133" t="s">
        <v>46</v>
      </c>
      <c r="B188" s="1134" t="s">
        <v>47</v>
      </c>
      <c r="C188" s="1124">
        <v>2022</v>
      </c>
      <c r="D188" s="1124"/>
      <c r="E188" s="1124"/>
      <c r="F188" s="1124"/>
    </row>
    <row r="189" spans="1:15" ht="17.25" customHeight="1" thickBot="1" x14ac:dyDescent="0.25">
      <c r="A189" s="1121"/>
      <c r="B189" s="1123"/>
      <c r="C189" s="1125"/>
      <c r="D189" s="1125"/>
      <c r="E189" s="1125"/>
      <c r="F189" s="201" t="s">
        <v>520</v>
      </c>
    </row>
    <row r="190" spans="1:15" ht="20.25" customHeight="1" x14ac:dyDescent="0.2">
      <c r="A190" s="409" t="s">
        <v>510</v>
      </c>
      <c r="B190" s="1126" t="s">
        <v>508</v>
      </c>
      <c r="C190" s="1127"/>
      <c r="D190" s="1127"/>
      <c r="E190" s="1127"/>
      <c r="F190" s="1128"/>
      <c r="G190" s="1116" t="s">
        <v>356</v>
      </c>
      <c r="H190" s="1117"/>
      <c r="I190" s="1117"/>
      <c r="J190" s="1118"/>
      <c r="K190" s="39"/>
      <c r="L190" s="39"/>
      <c r="M190" s="39"/>
      <c r="N190" s="39"/>
      <c r="O190" s="39"/>
    </row>
    <row r="191" spans="1:15" ht="20.25" customHeight="1" x14ac:dyDescent="0.2">
      <c r="A191" s="409"/>
      <c r="B191" s="1189" t="s">
        <v>509</v>
      </c>
      <c r="C191" s="1190"/>
      <c r="D191" s="1190"/>
      <c r="E191" s="1190"/>
      <c r="F191" s="1191"/>
      <c r="G191" s="567"/>
      <c r="H191" s="683"/>
      <c r="I191" s="697"/>
      <c r="J191" s="569"/>
      <c r="K191" s="39"/>
      <c r="L191" s="39"/>
      <c r="M191" s="39"/>
      <c r="N191" s="39"/>
      <c r="O191" s="39"/>
    </row>
    <row r="192" spans="1:15" ht="20.25" customHeight="1" x14ac:dyDescent="0.2">
      <c r="A192" s="1103" t="s">
        <v>628</v>
      </c>
      <c r="B192" s="1188" t="s">
        <v>526</v>
      </c>
      <c r="C192" s="1188"/>
      <c r="D192" s="1188"/>
      <c r="E192" s="1188"/>
      <c r="F192" s="1195">
        <v>11000000</v>
      </c>
      <c r="G192" s="567"/>
      <c r="H192" s="683"/>
      <c r="I192" s="697"/>
      <c r="J192" s="569"/>
      <c r="K192" s="39"/>
      <c r="L192" s="39"/>
      <c r="M192" s="39"/>
      <c r="N192" s="39"/>
      <c r="O192" s="39"/>
    </row>
    <row r="193" spans="1:15" ht="20.25" customHeight="1" x14ac:dyDescent="0.2">
      <c r="A193" s="1103"/>
      <c r="B193" s="1188" t="s">
        <v>527</v>
      </c>
      <c r="C193" s="1188"/>
      <c r="D193" s="1188"/>
      <c r="E193" s="1188"/>
      <c r="F193" s="1196"/>
      <c r="G193" s="567"/>
      <c r="H193" s="683"/>
      <c r="I193" s="697"/>
      <c r="J193" s="569"/>
      <c r="K193" s="39"/>
      <c r="L193" s="39"/>
      <c r="M193" s="39"/>
      <c r="N193" s="39"/>
      <c r="O193" s="39"/>
    </row>
    <row r="194" spans="1:15" ht="20.25" customHeight="1" thickBot="1" x14ac:dyDescent="0.25">
      <c r="A194" s="409" t="s">
        <v>510</v>
      </c>
      <c r="B194" s="1188" t="s">
        <v>528</v>
      </c>
      <c r="C194" s="1188"/>
      <c r="D194" s="1188"/>
      <c r="E194" s="1188"/>
      <c r="F194" s="289"/>
      <c r="G194" s="567"/>
      <c r="H194" s="683"/>
      <c r="I194" s="697"/>
      <c r="J194" s="569"/>
      <c r="K194" s="39"/>
      <c r="L194" s="39"/>
      <c r="M194" s="39"/>
      <c r="N194" s="39"/>
      <c r="O194" s="39"/>
    </row>
    <row r="195" spans="1:15" ht="18.75" customHeight="1" x14ac:dyDescent="0.2">
      <c r="A195" s="581"/>
      <c r="B195" s="975" t="s">
        <v>263</v>
      </c>
      <c r="C195" s="976"/>
      <c r="D195" s="976"/>
      <c r="E195" s="976"/>
      <c r="F195" s="977">
        <f>SUM(F196:F202)</f>
        <v>187585884</v>
      </c>
      <c r="G195" s="568"/>
      <c r="H195" s="683"/>
      <c r="I195" s="697"/>
      <c r="J195" s="569"/>
      <c r="K195" s="39"/>
      <c r="L195" s="39"/>
      <c r="M195" s="39"/>
      <c r="N195" s="39"/>
      <c r="O195" s="39"/>
    </row>
    <row r="196" spans="1:15" ht="17.25" customHeight="1" x14ac:dyDescent="0.2">
      <c r="A196" s="1129" t="s">
        <v>262</v>
      </c>
      <c r="B196" s="1100" t="s">
        <v>340</v>
      </c>
      <c r="C196" s="1100"/>
      <c r="D196" s="1100"/>
      <c r="E196" s="1100"/>
      <c r="F196" s="289">
        <v>62989830</v>
      </c>
      <c r="G196" s="415"/>
      <c r="H196" s="681"/>
      <c r="I196" s="694"/>
      <c r="J196" s="39"/>
      <c r="K196" s="39"/>
      <c r="L196" s="39"/>
      <c r="M196" s="39"/>
      <c r="N196" s="39"/>
      <c r="O196" s="39"/>
    </row>
    <row r="197" spans="1:15" ht="17.25" customHeight="1" x14ac:dyDescent="0.2">
      <c r="A197" s="1129"/>
      <c r="B197" s="1100" t="s">
        <v>683</v>
      </c>
      <c r="C197" s="1100"/>
      <c r="D197" s="1100"/>
      <c r="E197" s="1100"/>
      <c r="F197" s="289">
        <v>16602000</v>
      </c>
      <c r="G197" s="415"/>
      <c r="H197" s="681"/>
      <c r="I197" s="694"/>
      <c r="J197" s="39"/>
      <c r="K197" s="39"/>
      <c r="L197" s="39"/>
      <c r="M197" s="39"/>
      <c r="N197" s="39"/>
      <c r="O197" s="39"/>
    </row>
    <row r="198" spans="1:15" ht="17.25" customHeight="1" x14ac:dyDescent="0.2">
      <c r="A198" s="1130"/>
      <c r="B198" s="1100" t="s">
        <v>341</v>
      </c>
      <c r="C198" s="1100"/>
      <c r="D198" s="1100"/>
      <c r="E198" s="1100"/>
      <c r="F198" s="289">
        <v>7177654</v>
      </c>
      <c r="G198" s="415"/>
      <c r="H198" s="681"/>
      <c r="I198" s="694"/>
      <c r="J198" s="39"/>
      <c r="K198" s="39"/>
      <c r="L198" s="39"/>
      <c r="M198" s="39"/>
      <c r="N198" s="39"/>
      <c r="O198" s="39"/>
    </row>
    <row r="199" spans="1:15" ht="17.25" customHeight="1" x14ac:dyDescent="0.2">
      <c r="A199" s="1130"/>
      <c r="B199" s="1100" t="s">
        <v>417</v>
      </c>
      <c r="C199" s="1100"/>
      <c r="D199" s="1100"/>
      <c r="E199" s="1100"/>
      <c r="F199" s="289">
        <v>70122580</v>
      </c>
      <c r="G199" s="415"/>
      <c r="H199" s="681"/>
      <c r="I199" s="694"/>
      <c r="J199" s="39"/>
      <c r="K199" s="39"/>
      <c r="L199" s="39"/>
      <c r="M199" s="39"/>
      <c r="N199" s="39"/>
      <c r="O199" s="39"/>
    </row>
    <row r="200" spans="1:15" ht="17.25" customHeight="1" x14ac:dyDescent="0.2">
      <c r="A200" s="1130"/>
      <c r="B200" s="1100" t="s">
        <v>481</v>
      </c>
      <c r="C200" s="1100"/>
      <c r="D200" s="1100"/>
      <c r="E200" s="1100"/>
      <c r="F200" s="289">
        <v>12918000</v>
      </c>
      <c r="G200" s="418"/>
      <c r="H200" s="681"/>
      <c r="I200" s="694"/>
      <c r="J200" s="39"/>
      <c r="K200" s="39"/>
      <c r="L200" s="39"/>
      <c r="M200" s="39"/>
      <c r="N200" s="39"/>
      <c r="O200" s="39"/>
    </row>
    <row r="201" spans="1:15" ht="18" customHeight="1" x14ac:dyDescent="0.2">
      <c r="A201" s="1130"/>
      <c r="B201" s="1100" t="s">
        <v>418</v>
      </c>
      <c r="C201" s="1100"/>
      <c r="D201" s="1100"/>
      <c r="E201" s="1100"/>
      <c r="F201" s="289">
        <v>5654215</v>
      </c>
      <c r="G201" s="415"/>
      <c r="H201" s="681"/>
      <c r="I201" s="694"/>
      <c r="J201" s="39"/>
      <c r="K201" s="39"/>
      <c r="L201" s="39"/>
      <c r="M201" s="39"/>
      <c r="N201" s="39"/>
      <c r="O201" s="39"/>
    </row>
    <row r="202" spans="1:15" ht="18" customHeight="1" thickBot="1" x14ac:dyDescent="0.25">
      <c r="A202" s="1131"/>
      <c r="B202" s="1100" t="s">
        <v>419</v>
      </c>
      <c r="C202" s="1100"/>
      <c r="D202" s="1100"/>
      <c r="E202" s="1100"/>
      <c r="F202" s="289">
        <v>12121605</v>
      </c>
      <c r="G202" s="415"/>
      <c r="H202" s="681"/>
      <c r="I202" s="694"/>
      <c r="J202" s="39"/>
      <c r="K202" s="39"/>
      <c r="L202" s="39"/>
      <c r="M202" s="39"/>
      <c r="N202" s="39"/>
      <c r="O202" s="39"/>
    </row>
    <row r="203" spans="1:15" ht="21" customHeight="1" thickBot="1" x14ac:dyDescent="0.25">
      <c r="A203" s="1132" t="s">
        <v>281</v>
      </c>
      <c r="B203" s="1132"/>
      <c r="C203" s="1132"/>
      <c r="D203" s="1132"/>
      <c r="E203" s="1132"/>
      <c r="F203" s="227">
        <f>SUM(F192+F195)</f>
        <v>198585884</v>
      </c>
      <c r="G203" s="1008">
        <f>SUM(F203-'Kiadások COFOG szerint'!F111)</f>
        <v>0</v>
      </c>
      <c r="H203" s="684"/>
      <c r="I203" s="698"/>
      <c r="J203" s="49"/>
      <c r="K203" s="49"/>
    </row>
    <row r="204" spans="1:15" ht="25.5" customHeight="1" thickBot="1" x14ac:dyDescent="0.25">
      <c r="A204" s="1119" t="s">
        <v>420</v>
      </c>
      <c r="B204" s="1119"/>
      <c r="C204" s="1119"/>
      <c r="D204" s="1119"/>
      <c r="E204" s="1119"/>
      <c r="F204" s="1119"/>
    </row>
    <row r="205" spans="1:15" ht="21.75" customHeight="1" x14ac:dyDescent="0.2">
      <c r="A205" s="1133" t="s">
        <v>46</v>
      </c>
      <c r="B205" s="1134" t="s">
        <v>47</v>
      </c>
      <c r="C205" s="1124">
        <v>2022</v>
      </c>
      <c r="D205" s="1124"/>
      <c r="E205" s="1124"/>
      <c r="F205" s="1124"/>
    </row>
    <row r="206" spans="1:15" ht="23.25" customHeight="1" thickBot="1" x14ac:dyDescent="0.25">
      <c r="A206" s="1133"/>
      <c r="B206" s="1134"/>
      <c r="C206" s="1125"/>
      <c r="D206" s="1125"/>
      <c r="E206" s="1125"/>
      <c r="F206" s="201" t="s">
        <v>520</v>
      </c>
    </row>
    <row r="207" spans="1:15" ht="15" customHeight="1" x14ac:dyDescent="0.2">
      <c r="A207" s="992" t="s">
        <v>144</v>
      </c>
      <c r="B207" s="985" t="s">
        <v>421</v>
      </c>
      <c r="C207" s="995"/>
      <c r="D207" s="996"/>
      <c r="E207" s="993"/>
      <c r="F207" s="994">
        <f>SUM(F208:F209)</f>
        <v>4740000</v>
      </c>
      <c r="G207" s="420"/>
    </row>
    <row r="208" spans="1:15" ht="15" customHeight="1" x14ac:dyDescent="0.2">
      <c r="A208" s="983"/>
      <c r="B208" s="984" t="s">
        <v>703</v>
      </c>
      <c r="C208" s="379">
        <v>4</v>
      </c>
      <c r="D208" s="379">
        <v>85000</v>
      </c>
      <c r="E208" s="379">
        <v>1</v>
      </c>
      <c r="F208" s="380">
        <f>SUM(C208*D208*E208)</f>
        <v>340000</v>
      </c>
      <c r="G208" s="420"/>
    </row>
    <row r="209" spans="1:7" ht="15" customHeight="1" x14ac:dyDescent="0.2">
      <c r="A209" s="983"/>
      <c r="B209" s="433">
        <v>2022</v>
      </c>
      <c r="C209" s="379">
        <v>4</v>
      </c>
      <c r="D209" s="379">
        <v>100000</v>
      </c>
      <c r="E209" s="379">
        <v>11</v>
      </c>
      <c r="F209" s="380">
        <f>SUM(C209*D209*E209)</f>
        <v>4400000</v>
      </c>
      <c r="G209" s="420"/>
    </row>
    <row r="210" spans="1:7" ht="15" customHeight="1" x14ac:dyDescent="0.2">
      <c r="A210" s="89" t="s">
        <v>158</v>
      </c>
      <c r="B210" s="1002" t="s">
        <v>159</v>
      </c>
      <c r="C210" s="379">
        <f>F207</f>
        <v>4740000</v>
      </c>
      <c r="D210" s="381">
        <v>0.13</v>
      </c>
      <c r="E210" s="382">
        <v>0.5</v>
      </c>
      <c r="F210" s="994">
        <v>312000</v>
      </c>
      <c r="G210" s="238">
        <f>SUM(C210*D210*E210)</f>
        <v>308100</v>
      </c>
    </row>
    <row r="211" spans="1:7" ht="15" customHeight="1" x14ac:dyDescent="0.2">
      <c r="A211" s="117" t="s">
        <v>158</v>
      </c>
      <c r="B211" s="286" t="s">
        <v>342</v>
      </c>
      <c r="C211" s="287"/>
      <c r="D211" s="379"/>
      <c r="E211" s="287"/>
      <c r="F211" s="380"/>
    </row>
    <row r="212" spans="1:7" ht="15" customHeight="1" x14ac:dyDescent="0.2">
      <c r="A212" s="363" t="s">
        <v>170</v>
      </c>
      <c r="B212" s="90" t="s">
        <v>171</v>
      </c>
      <c r="C212" s="109"/>
      <c r="D212" s="214">
        <v>0.27</v>
      </c>
      <c r="E212" s="109"/>
      <c r="F212" s="233">
        <v>0</v>
      </c>
    </row>
    <row r="213" spans="1:7" ht="21.75" customHeight="1" x14ac:dyDescent="0.2">
      <c r="A213" s="363" t="s">
        <v>213</v>
      </c>
      <c r="B213" s="90" t="s">
        <v>273</v>
      </c>
      <c r="C213" s="109"/>
      <c r="D213" s="214">
        <v>0.27</v>
      </c>
      <c r="E213" s="109"/>
      <c r="F213" s="233">
        <v>0</v>
      </c>
    </row>
    <row r="214" spans="1:7" ht="21.75" customHeight="1" x14ac:dyDescent="0.2">
      <c r="A214" s="363" t="s">
        <v>249</v>
      </c>
      <c r="B214" s="90" t="s">
        <v>250</v>
      </c>
      <c r="C214" s="109"/>
      <c r="D214" s="214">
        <v>0.27</v>
      </c>
      <c r="E214" s="109"/>
      <c r="F214" s="233"/>
    </row>
    <row r="215" spans="1:7" ht="22.5" customHeight="1" thickBot="1" x14ac:dyDescent="0.25">
      <c r="A215" s="94" t="s">
        <v>251</v>
      </c>
      <c r="B215" s="95" t="s">
        <v>278</v>
      </c>
      <c r="C215" s="98"/>
      <c r="D215" s="214">
        <v>0.27</v>
      </c>
      <c r="E215" s="98"/>
      <c r="F215" s="235"/>
    </row>
    <row r="216" spans="1:7" ht="20.25" customHeight="1" x14ac:dyDescent="0.2">
      <c r="A216" s="1108" t="s">
        <v>281</v>
      </c>
      <c r="B216" s="1108"/>
      <c r="C216" s="1108"/>
      <c r="D216" s="1108"/>
      <c r="E216" s="1108"/>
      <c r="F216" s="386">
        <f>SUM(F207+F210)</f>
        <v>5052000</v>
      </c>
      <c r="G216" s="219">
        <f>SUM(F216-'Kiadások COFOG szerint'!F121)</f>
        <v>0</v>
      </c>
    </row>
    <row r="217" spans="1:7" ht="20.25" hidden="1" customHeight="1" thickBot="1" x14ac:dyDescent="0.25">
      <c r="A217" s="1119" t="s">
        <v>422</v>
      </c>
      <c r="B217" s="1119"/>
      <c r="C217" s="1119"/>
      <c r="D217" s="1119"/>
      <c r="E217" s="1119"/>
      <c r="F217" s="1119"/>
    </row>
    <row r="218" spans="1:7" ht="20.25" hidden="1" customHeight="1" x14ac:dyDescent="0.2">
      <c r="A218" s="1133" t="s">
        <v>46</v>
      </c>
      <c r="B218" s="1134" t="s">
        <v>47</v>
      </c>
      <c r="C218" s="1124">
        <v>2021</v>
      </c>
      <c r="D218" s="1124"/>
      <c r="E218" s="1124"/>
      <c r="F218" s="1124"/>
    </row>
    <row r="219" spans="1:7" ht="20.25" hidden="1" customHeight="1" thickBot="1" x14ac:dyDescent="0.25">
      <c r="A219" s="1133"/>
      <c r="B219" s="1134"/>
      <c r="C219" s="1125"/>
      <c r="D219" s="1125"/>
      <c r="E219" s="1125"/>
      <c r="F219" s="201" t="s">
        <v>520</v>
      </c>
    </row>
    <row r="220" spans="1:7" ht="20.25" hidden="1" customHeight="1" x14ac:dyDescent="0.2">
      <c r="A220" s="366" t="s">
        <v>144</v>
      </c>
      <c r="B220" s="378" t="s">
        <v>421</v>
      </c>
      <c r="C220" s="379"/>
      <c r="D220" s="379"/>
      <c r="E220" s="379"/>
      <c r="F220" s="380">
        <v>0</v>
      </c>
    </row>
    <row r="221" spans="1:7" ht="20.25" hidden="1" customHeight="1" x14ac:dyDescent="0.2">
      <c r="A221" s="371" t="s">
        <v>150</v>
      </c>
      <c r="B221" s="378" t="s">
        <v>151</v>
      </c>
      <c r="C221" s="379"/>
      <c r="D221" s="379"/>
      <c r="E221" s="379"/>
      <c r="F221" s="380">
        <v>0</v>
      </c>
    </row>
    <row r="222" spans="1:7" ht="20.25" hidden="1" customHeight="1" x14ac:dyDescent="0.2">
      <c r="A222" s="366" t="s">
        <v>158</v>
      </c>
      <c r="B222" s="378" t="s">
        <v>159</v>
      </c>
      <c r="C222" s="379"/>
      <c r="D222" s="381"/>
      <c r="E222" s="382"/>
      <c r="F222" s="380">
        <v>0</v>
      </c>
    </row>
    <row r="223" spans="1:7" ht="20.25" hidden="1" customHeight="1" x14ac:dyDescent="0.2">
      <c r="A223" s="371" t="s">
        <v>158</v>
      </c>
      <c r="B223" s="378" t="s">
        <v>342</v>
      </c>
      <c r="C223" s="287"/>
      <c r="D223" s="379"/>
      <c r="E223" s="287"/>
      <c r="F223" s="380">
        <v>0</v>
      </c>
    </row>
    <row r="224" spans="1:7" ht="20.25" hidden="1" customHeight="1" x14ac:dyDescent="0.2">
      <c r="A224" s="371" t="s">
        <v>170</v>
      </c>
      <c r="B224" s="375" t="s">
        <v>171</v>
      </c>
      <c r="C224" s="369"/>
      <c r="D224" s="214"/>
      <c r="E224" s="369"/>
      <c r="F224" s="233">
        <v>0</v>
      </c>
    </row>
    <row r="225" spans="1:12" ht="20.25" hidden="1" customHeight="1" thickBot="1" x14ac:dyDescent="0.25">
      <c r="A225" s="371" t="s">
        <v>213</v>
      </c>
      <c r="B225" s="375" t="s">
        <v>273</v>
      </c>
      <c r="C225" s="369"/>
      <c r="D225" s="214"/>
      <c r="E225" s="369"/>
      <c r="F225" s="233">
        <v>0</v>
      </c>
    </row>
    <row r="226" spans="1:12" ht="20.25" hidden="1" customHeight="1" thickBot="1" x14ac:dyDescent="0.25">
      <c r="A226" s="1132" t="s">
        <v>281</v>
      </c>
      <c r="B226" s="1132"/>
      <c r="C226" s="1132"/>
      <c r="D226" s="1132"/>
      <c r="E226" s="1132"/>
      <c r="F226" s="227">
        <f>SUM(F220:F225)</f>
        <v>0</v>
      </c>
    </row>
    <row r="227" spans="1:12" ht="24" customHeight="1" thickBot="1" x14ac:dyDescent="0.25">
      <c r="A227" s="1109" t="s">
        <v>287</v>
      </c>
      <c r="B227" s="1109"/>
      <c r="C227" s="1109"/>
      <c r="D227" s="1109"/>
      <c r="E227" s="1109"/>
      <c r="F227" s="1109"/>
    </row>
    <row r="228" spans="1:12" ht="23.25" customHeight="1" x14ac:dyDescent="0.2">
      <c r="A228" s="1133" t="s">
        <v>46</v>
      </c>
      <c r="B228" s="1134" t="s">
        <v>47</v>
      </c>
      <c r="C228" s="1124">
        <v>2022</v>
      </c>
      <c r="D228" s="1124"/>
      <c r="E228" s="1124"/>
      <c r="F228" s="1124"/>
    </row>
    <row r="229" spans="1:12" ht="25.5" customHeight="1" thickBot="1" x14ac:dyDescent="0.25">
      <c r="A229" s="1133"/>
      <c r="B229" s="1134"/>
      <c r="C229" s="1125"/>
      <c r="D229" s="1125"/>
      <c r="E229" s="1125"/>
      <c r="F229" s="201" t="s">
        <v>520</v>
      </c>
    </row>
    <row r="230" spans="1:12" ht="15" customHeight="1" x14ac:dyDescent="0.2">
      <c r="A230" s="89" t="s">
        <v>170</v>
      </c>
      <c r="B230" s="1101" t="s">
        <v>171</v>
      </c>
      <c r="C230" s="1101"/>
      <c r="D230" s="1101"/>
      <c r="E230" s="1101"/>
      <c r="F230" s="206">
        <v>700000</v>
      </c>
      <c r="H230" s="673">
        <v>0.27</v>
      </c>
      <c r="I230" s="725">
        <f t="shared" ref="I230:I232" si="7">SUM(F230*H230)</f>
        <v>189000</v>
      </c>
    </row>
    <row r="231" spans="1:12" ht="15" customHeight="1" x14ac:dyDescent="0.2">
      <c r="A231" s="1105" t="s">
        <v>199</v>
      </c>
      <c r="B231" s="714" t="s">
        <v>609</v>
      </c>
      <c r="C231" s="713"/>
      <c r="D231" s="214">
        <v>0.27</v>
      </c>
      <c r="E231" s="713"/>
      <c r="F231" s="289">
        <v>807250</v>
      </c>
      <c r="H231" s="673">
        <v>0.27</v>
      </c>
      <c r="I231" s="725">
        <f t="shared" si="7"/>
        <v>217957.5</v>
      </c>
    </row>
    <row r="232" spans="1:12" ht="15" customHeight="1" x14ac:dyDescent="0.2">
      <c r="A232" s="1106"/>
      <c r="B232" s="655" t="s">
        <v>597</v>
      </c>
      <c r="C232" s="657" t="s">
        <v>599</v>
      </c>
      <c r="D232" s="214">
        <v>0.27</v>
      </c>
      <c r="E232" s="705"/>
      <c r="F232" s="205">
        <v>800000</v>
      </c>
      <c r="H232" s="673">
        <v>0.27</v>
      </c>
      <c r="I232" s="725">
        <f t="shared" si="7"/>
        <v>216000</v>
      </c>
    </row>
    <row r="233" spans="1:12" ht="15" customHeight="1" x14ac:dyDescent="0.2">
      <c r="A233" s="1106"/>
      <c r="B233" s="90" t="s">
        <v>598</v>
      </c>
      <c r="C233" s="109">
        <v>150000</v>
      </c>
      <c r="D233" s="214">
        <v>0.27</v>
      </c>
      <c r="E233" s="705">
        <v>5.5</v>
      </c>
      <c r="F233" s="205">
        <f>SUM(C233*D233*E233)</f>
        <v>222750</v>
      </c>
      <c r="H233" s="673">
        <v>0.27</v>
      </c>
      <c r="I233" s="725">
        <f>SUM(F233*H233)</f>
        <v>60142.500000000007</v>
      </c>
    </row>
    <row r="234" spans="1:12" ht="15" customHeight="1" x14ac:dyDescent="0.2">
      <c r="A234" s="1107"/>
      <c r="B234" s="1101" t="s">
        <v>343</v>
      </c>
      <c r="C234" s="1101"/>
      <c r="D234" s="1101"/>
      <c r="E234" s="1101"/>
      <c r="F234" s="206">
        <f>SUM(F231:F233)</f>
        <v>1830000</v>
      </c>
      <c r="G234" s="292" t="s">
        <v>375</v>
      </c>
      <c r="H234" s="685"/>
      <c r="I234" s="726"/>
      <c r="J234" s="292"/>
      <c r="K234" s="293">
        <v>4205856</v>
      </c>
      <c r="L234" s="294" t="s">
        <v>376</v>
      </c>
    </row>
    <row r="235" spans="1:12" ht="15" customHeight="1" x14ac:dyDescent="0.2">
      <c r="A235" s="89" t="s">
        <v>205</v>
      </c>
      <c r="B235" s="1101" t="s">
        <v>206</v>
      </c>
      <c r="C235" s="1101"/>
      <c r="D235" s="1101"/>
      <c r="E235" s="1101"/>
      <c r="F235" s="206">
        <f>SUM(F236:F237)</f>
        <v>1900000</v>
      </c>
      <c r="I235" s="727"/>
    </row>
    <row r="236" spans="1:12" ht="15" customHeight="1" x14ac:dyDescent="0.2">
      <c r="A236" s="665"/>
      <c r="B236" s="669" t="s">
        <v>607</v>
      </c>
      <c r="C236" s="667">
        <v>140000</v>
      </c>
      <c r="D236" s="284">
        <v>0.27</v>
      </c>
      <c r="E236" s="667">
        <v>12</v>
      </c>
      <c r="F236" s="289">
        <f>SUM(C236*E236)</f>
        <v>1680000</v>
      </c>
      <c r="H236" s="673">
        <v>0.27</v>
      </c>
      <c r="I236" s="725">
        <f>SUM(F236*H236)</f>
        <v>453600.00000000006</v>
      </c>
    </row>
    <row r="237" spans="1:12" ht="15" customHeight="1" x14ac:dyDescent="0.2">
      <c r="A237" s="983"/>
      <c r="B237" s="984" t="s">
        <v>614</v>
      </c>
      <c r="C237" s="989">
        <v>46400</v>
      </c>
      <c r="D237" s="284">
        <v>0.27</v>
      </c>
      <c r="E237" s="989"/>
      <c r="F237" s="289">
        <v>220000</v>
      </c>
      <c r="H237" s="673">
        <v>0.27</v>
      </c>
      <c r="I237" s="725">
        <f>SUM(F237*H237)</f>
        <v>59400.000000000007</v>
      </c>
    </row>
    <row r="238" spans="1:12" ht="21" x14ac:dyDescent="0.2">
      <c r="A238" s="393" t="s">
        <v>213</v>
      </c>
      <c r="B238" s="412" t="s">
        <v>273</v>
      </c>
      <c r="C238" s="414">
        <f>F234+F230+F235</f>
        <v>4430000</v>
      </c>
      <c r="D238" s="284">
        <v>0.27</v>
      </c>
      <c r="E238" s="414">
        <f>C238*D238</f>
        <v>1196100</v>
      </c>
      <c r="F238" s="206">
        <v>1200000</v>
      </c>
      <c r="G238" s="419"/>
      <c r="H238" s="684"/>
      <c r="I238" s="706">
        <f>SUM(I230:I237)</f>
        <v>1196100</v>
      </c>
      <c r="J238" s="49"/>
      <c r="K238" s="49"/>
    </row>
    <row r="239" spans="1:12" ht="15" customHeight="1" x14ac:dyDescent="0.2">
      <c r="A239" s="1053" t="s">
        <v>253</v>
      </c>
      <c r="B239" s="1111" t="s">
        <v>254</v>
      </c>
      <c r="C239" s="1111"/>
      <c r="D239" s="1111"/>
      <c r="E239" s="1111"/>
      <c r="F239" s="1111"/>
      <c r="H239" s="684"/>
      <c r="I239" s="1088"/>
      <c r="J239" s="1088"/>
      <c r="K239" s="49"/>
      <c r="L239" s="158"/>
    </row>
    <row r="240" spans="1:12" ht="15" customHeight="1" x14ac:dyDescent="0.2">
      <c r="A240" s="1053"/>
      <c r="B240" s="95" t="s">
        <v>722</v>
      </c>
      <c r="C240" s="98"/>
      <c r="D240" s="223">
        <v>0.27</v>
      </c>
      <c r="E240" s="98"/>
      <c r="F240" s="197">
        <v>2800000</v>
      </c>
      <c r="G240" s="416"/>
      <c r="H240" s="684"/>
      <c r="I240" s="696"/>
      <c r="J240" s="163"/>
      <c r="K240" s="49"/>
      <c r="L240" s="158"/>
    </row>
    <row r="241" spans="1:15" ht="15" customHeight="1" x14ac:dyDescent="0.2">
      <c r="A241" s="1053"/>
      <c r="B241" s="95"/>
      <c r="C241" s="282"/>
      <c r="D241" s="223">
        <v>0.27</v>
      </c>
      <c r="E241" s="282"/>
      <c r="F241" s="309"/>
      <c r="G241" s="416"/>
      <c r="H241" s="686"/>
      <c r="I241" s="696"/>
      <c r="J241" s="280"/>
      <c r="K241" s="49"/>
      <c r="L241" s="158"/>
    </row>
    <row r="242" spans="1:15" ht="15" customHeight="1" x14ac:dyDescent="0.2">
      <c r="A242" s="1053"/>
      <c r="B242" s="1101" t="s">
        <v>344</v>
      </c>
      <c r="C242" s="1101"/>
      <c r="D242" s="1101"/>
      <c r="E242" s="1101"/>
      <c r="F242" s="224">
        <f>F240+F241</f>
        <v>2800000</v>
      </c>
      <c r="G242" s="416"/>
      <c r="H242" s="686"/>
      <c r="I242" s="696"/>
      <c r="J242" s="163"/>
      <c r="K242" s="49"/>
      <c r="L242" s="158"/>
    </row>
    <row r="243" spans="1:15" ht="21" x14ac:dyDescent="0.2">
      <c r="A243" s="105" t="s">
        <v>257</v>
      </c>
      <c r="B243" s="390" t="s">
        <v>279</v>
      </c>
      <c r="C243" s="391">
        <f>F242</f>
        <v>2800000</v>
      </c>
      <c r="D243" s="389">
        <v>0.27</v>
      </c>
      <c r="E243" s="391"/>
      <c r="F243" s="392">
        <v>700000</v>
      </c>
      <c r="H243" s="687"/>
    </row>
    <row r="244" spans="1:15" ht="21" customHeight="1" thickBot="1" x14ac:dyDescent="0.25">
      <c r="A244" s="1132" t="s">
        <v>281</v>
      </c>
      <c r="B244" s="1132"/>
      <c r="C244" s="1132"/>
      <c r="D244" s="1132"/>
      <c r="E244" s="1132"/>
      <c r="F244" s="227">
        <f>F234+F238+F242+F243+F230+F235</f>
        <v>9130000</v>
      </c>
      <c r="G244" s="219">
        <f>SUM(F244-'Kiadások COFOG szerint'!F141)</f>
        <v>0</v>
      </c>
      <c r="M244" s="39"/>
      <c r="N244" s="39"/>
    </row>
    <row r="245" spans="1:15" ht="30" customHeight="1" thickBot="1" x14ac:dyDescent="0.25">
      <c r="A245" s="1119" t="s">
        <v>134</v>
      </c>
      <c r="B245" s="1119"/>
      <c r="C245" s="1119"/>
      <c r="D245" s="1119"/>
      <c r="E245" s="1119"/>
      <c r="F245" s="1119"/>
    </row>
    <row r="246" spans="1:15" ht="18" customHeight="1" x14ac:dyDescent="0.2">
      <c r="A246" s="1120" t="s">
        <v>46</v>
      </c>
      <c r="B246" s="1122" t="s">
        <v>47</v>
      </c>
      <c r="C246" s="1124">
        <v>2022</v>
      </c>
      <c r="D246" s="1124"/>
      <c r="E246" s="1124"/>
      <c r="F246" s="1124"/>
      <c r="L246" s="39"/>
      <c r="M246" s="39"/>
      <c r="N246" s="39"/>
      <c r="O246" s="39"/>
    </row>
    <row r="247" spans="1:15" ht="24.75" customHeight="1" thickBot="1" x14ac:dyDescent="0.25">
      <c r="A247" s="1133"/>
      <c r="B247" s="1134"/>
      <c r="C247" s="1125"/>
      <c r="D247" s="1125"/>
      <c r="E247" s="1125"/>
      <c r="F247" s="201" t="s">
        <v>520</v>
      </c>
    </row>
    <row r="248" spans="1:15" ht="12.75" customHeight="1" x14ac:dyDescent="0.2">
      <c r="A248" s="496" t="s">
        <v>193</v>
      </c>
      <c r="B248" s="500" t="s">
        <v>282</v>
      </c>
      <c r="C248" s="504"/>
      <c r="D248" s="504"/>
      <c r="E248" s="504"/>
      <c r="F248" s="236">
        <v>0</v>
      </c>
      <c r="H248" s="676"/>
    </row>
    <row r="249" spans="1:15" ht="12.75" customHeight="1" x14ac:dyDescent="0.2">
      <c r="A249" s="496" t="s">
        <v>199</v>
      </c>
      <c r="B249" s="500" t="s">
        <v>200</v>
      </c>
      <c r="C249" s="504"/>
      <c r="D249" s="504"/>
      <c r="E249" s="504"/>
      <c r="F249" s="236">
        <v>0</v>
      </c>
    </row>
    <row r="250" spans="1:15" ht="15" customHeight="1" x14ac:dyDescent="0.2">
      <c r="A250" s="393" t="s">
        <v>255</v>
      </c>
      <c r="B250" s="501" t="s">
        <v>256</v>
      </c>
      <c r="C250" s="506"/>
      <c r="D250" s="506"/>
      <c r="E250" s="506"/>
      <c r="F250" s="380">
        <v>6615629</v>
      </c>
    </row>
    <row r="251" spans="1:15" ht="22.5" customHeight="1" thickBot="1" x14ac:dyDescent="0.25">
      <c r="A251" s="393" t="s">
        <v>257</v>
      </c>
      <c r="B251" s="501" t="s">
        <v>279</v>
      </c>
      <c r="C251" s="506">
        <f>F250</f>
        <v>6615629</v>
      </c>
      <c r="D251" s="284">
        <v>0.27</v>
      </c>
      <c r="E251" s="506">
        <f>C251*D251</f>
        <v>1786219.83</v>
      </c>
      <c r="F251" s="380">
        <v>1786220</v>
      </c>
    </row>
    <row r="252" spans="1:15" ht="21" customHeight="1" thickBot="1" x14ac:dyDescent="0.25">
      <c r="A252" s="1132" t="s">
        <v>281</v>
      </c>
      <c r="B252" s="1132"/>
      <c r="C252" s="1132"/>
      <c r="D252" s="1132"/>
      <c r="E252" s="1132"/>
      <c r="F252" s="237">
        <f>SUM(F248:F251)</f>
        <v>8401849</v>
      </c>
      <c r="G252" s="219">
        <f>SUM(F252-'Kiadások COFOG szerint'!F149)</f>
        <v>0</v>
      </c>
    </row>
    <row r="253" spans="1:15" ht="21" customHeight="1" thickBot="1" x14ac:dyDescent="0.25">
      <c r="A253" s="1119" t="s">
        <v>511</v>
      </c>
      <c r="B253" s="1119"/>
      <c r="C253" s="1119"/>
      <c r="D253" s="1119"/>
      <c r="E253" s="1119"/>
      <c r="F253" s="1119"/>
    </row>
    <row r="254" spans="1:15" ht="21" customHeight="1" x14ac:dyDescent="0.2">
      <c r="A254" s="1120" t="s">
        <v>46</v>
      </c>
      <c r="B254" s="1122" t="s">
        <v>47</v>
      </c>
      <c r="C254" s="1124">
        <v>2022</v>
      </c>
      <c r="D254" s="1124"/>
      <c r="E254" s="1124"/>
      <c r="F254" s="1124"/>
    </row>
    <row r="255" spans="1:15" ht="21" customHeight="1" thickBot="1" x14ac:dyDescent="0.25">
      <c r="A255" s="1121"/>
      <c r="B255" s="1123"/>
      <c r="C255" s="1125"/>
      <c r="D255" s="1125"/>
      <c r="E255" s="1125"/>
      <c r="F255" s="201" t="s">
        <v>520</v>
      </c>
    </row>
    <row r="256" spans="1:15" ht="21" customHeight="1" x14ac:dyDescent="0.2">
      <c r="A256" s="733" t="s">
        <v>253</v>
      </c>
      <c r="B256" s="734" t="s">
        <v>254</v>
      </c>
      <c r="C256" s="735"/>
      <c r="D256" s="736">
        <v>0.27</v>
      </c>
      <c r="E256" s="735"/>
      <c r="F256" s="737">
        <f>SUM(F257:F259)</f>
        <v>0</v>
      </c>
    </row>
    <row r="257" spans="1:12" ht="21" customHeight="1" x14ac:dyDescent="0.2">
      <c r="A257" s="717"/>
      <c r="B257" s="338" t="s">
        <v>616</v>
      </c>
      <c r="C257" s="722"/>
      <c r="D257" s="377"/>
      <c r="E257" s="722"/>
      <c r="F257" s="543"/>
      <c r="H257" s="673">
        <v>0.27</v>
      </c>
      <c r="I257" s="80">
        <f>SUM(F257*H257)</f>
        <v>0</v>
      </c>
    </row>
    <row r="258" spans="1:12" ht="21" customHeight="1" x14ac:dyDescent="0.2">
      <c r="A258" s="717"/>
      <c r="B258" s="338" t="s">
        <v>617</v>
      </c>
      <c r="C258" s="722"/>
      <c r="D258" s="377"/>
      <c r="E258" s="722"/>
      <c r="F258" s="543">
        <v>0</v>
      </c>
      <c r="H258" s="673">
        <v>0.27</v>
      </c>
      <c r="I258" s="80">
        <f t="shared" ref="I258:I259" si="8">SUM(F258*H258)</f>
        <v>0</v>
      </c>
    </row>
    <row r="259" spans="1:12" ht="21" customHeight="1" x14ac:dyDescent="0.2">
      <c r="A259" s="717"/>
      <c r="B259" s="338" t="s">
        <v>618</v>
      </c>
      <c r="C259" s="722"/>
      <c r="D259" s="377"/>
      <c r="E259" s="722"/>
      <c r="F259" s="543"/>
      <c r="H259" s="673">
        <v>0.27</v>
      </c>
      <c r="I259" s="80">
        <f t="shared" si="8"/>
        <v>0</v>
      </c>
    </row>
    <row r="260" spans="1:12" ht="21" customHeight="1" thickBot="1" x14ac:dyDescent="0.25">
      <c r="A260" s="738" t="s">
        <v>257</v>
      </c>
      <c r="B260" s="739" t="s">
        <v>279</v>
      </c>
      <c r="C260" s="740"/>
      <c r="D260" s="740"/>
      <c r="E260" s="740"/>
      <c r="F260" s="741"/>
      <c r="I260" s="80">
        <f>SUM(I257:I259)</f>
        <v>0</v>
      </c>
    </row>
    <row r="261" spans="1:12" ht="21" customHeight="1" thickBot="1" x14ac:dyDescent="0.25">
      <c r="A261" s="1132" t="s">
        <v>281</v>
      </c>
      <c r="B261" s="1132"/>
      <c r="C261" s="1132"/>
      <c r="D261" s="1132"/>
      <c r="E261" s="1132"/>
      <c r="F261" s="237">
        <f>SUM(F256+F260)</f>
        <v>0</v>
      </c>
      <c r="G261" s="219">
        <f>SUM(F261-'Kiadások COFOG szerint'!F155)</f>
        <v>0</v>
      </c>
    </row>
    <row r="262" spans="1:12" ht="27" customHeight="1" thickBot="1" x14ac:dyDescent="0.25">
      <c r="A262" s="1119" t="s">
        <v>288</v>
      </c>
      <c r="B262" s="1119"/>
      <c r="C262" s="1119"/>
      <c r="D262" s="1119"/>
      <c r="E262" s="1119"/>
      <c r="F262" s="1119"/>
    </row>
    <row r="263" spans="1:12" ht="21" customHeight="1" thickBot="1" x14ac:dyDescent="0.25">
      <c r="A263" s="1120" t="s">
        <v>46</v>
      </c>
      <c r="B263" s="1122" t="s">
        <v>47</v>
      </c>
      <c r="C263" s="1124">
        <v>2022</v>
      </c>
      <c r="D263" s="1124"/>
      <c r="E263" s="1124"/>
      <c r="F263" s="1124"/>
    </row>
    <row r="264" spans="1:12" ht="24.75" customHeight="1" thickBot="1" x14ac:dyDescent="0.25">
      <c r="A264" s="1137"/>
      <c r="B264" s="1138"/>
      <c r="C264" s="1125"/>
      <c r="D264" s="1125"/>
      <c r="E264" s="1125"/>
      <c r="F264" s="201" t="s">
        <v>520</v>
      </c>
    </row>
    <row r="265" spans="1:12" ht="19.5" customHeight="1" x14ac:dyDescent="0.2">
      <c r="A265" s="371" t="s">
        <v>170</v>
      </c>
      <c r="B265" s="378" t="s">
        <v>171</v>
      </c>
      <c r="C265" s="387"/>
      <c r="D265" s="389">
        <v>0.27</v>
      </c>
      <c r="E265" s="387"/>
      <c r="F265" s="395">
        <v>350000</v>
      </c>
    </row>
    <row r="266" spans="1:12" ht="18.75" customHeight="1" x14ac:dyDescent="0.2">
      <c r="A266" s="366" t="s">
        <v>189</v>
      </c>
      <c r="B266" s="378" t="s">
        <v>270</v>
      </c>
      <c r="C266" s="287">
        <v>360000</v>
      </c>
      <c r="D266" s="389">
        <v>0.27</v>
      </c>
      <c r="E266" s="287">
        <v>12</v>
      </c>
      <c r="F266" s="288">
        <f>SUM(C266*E266)</f>
        <v>4320000</v>
      </c>
      <c r="G266" s="294" t="s">
        <v>377</v>
      </c>
      <c r="H266" s="688"/>
      <c r="I266" s="699"/>
      <c r="J266" s="294"/>
      <c r="K266" s="293">
        <v>5216000</v>
      </c>
      <c r="L266" s="294" t="s">
        <v>376</v>
      </c>
    </row>
    <row r="267" spans="1:12" ht="18.75" customHeight="1" x14ac:dyDescent="0.2">
      <c r="A267" s="94" t="s">
        <v>199</v>
      </c>
      <c r="B267" s="390" t="s">
        <v>343</v>
      </c>
      <c r="C267" s="391"/>
      <c r="D267" s="389">
        <v>0.27</v>
      </c>
      <c r="E267" s="391"/>
      <c r="F267" s="392">
        <v>700000</v>
      </c>
    </row>
    <row r="268" spans="1:12" ht="26.25" customHeight="1" thickBot="1" x14ac:dyDescent="0.25">
      <c r="A268" s="373" t="s">
        <v>213</v>
      </c>
      <c r="B268" s="390" t="s">
        <v>273</v>
      </c>
      <c r="C268" s="391">
        <f>F266+F267+F265</f>
        <v>5370000</v>
      </c>
      <c r="D268" s="389">
        <v>0.27</v>
      </c>
      <c r="E268" s="391">
        <f>C268*D268</f>
        <v>1449900</v>
      </c>
      <c r="F268" s="392">
        <v>1500000</v>
      </c>
    </row>
    <row r="269" spans="1:12" ht="21" customHeight="1" thickBot="1" x14ac:dyDescent="0.25">
      <c r="A269" s="1132" t="s">
        <v>281</v>
      </c>
      <c r="B269" s="1132"/>
      <c r="C269" s="1132"/>
      <c r="D269" s="1132"/>
      <c r="E269" s="1132"/>
      <c r="F269" s="227">
        <f>SUM(F265+F266+F267+F268)</f>
        <v>6870000</v>
      </c>
      <c r="G269" s="219">
        <f>SUM(F269-'Kiadások COFOG szerint'!F163)</f>
        <v>0</v>
      </c>
    </row>
    <row r="270" spans="1:12" ht="25.5" customHeight="1" thickBot="1" x14ac:dyDescent="0.25">
      <c r="A270" s="1119" t="s">
        <v>289</v>
      </c>
      <c r="B270" s="1119"/>
      <c r="C270" s="1119"/>
      <c r="D270" s="1119"/>
      <c r="E270" s="1119"/>
      <c r="F270" s="1119"/>
    </row>
    <row r="271" spans="1:12" ht="21.75" customHeight="1" thickBot="1" x14ac:dyDescent="0.25">
      <c r="A271" s="1120" t="s">
        <v>46</v>
      </c>
      <c r="B271" s="1122" t="s">
        <v>47</v>
      </c>
      <c r="C271" s="1124">
        <v>2022</v>
      </c>
      <c r="D271" s="1124"/>
      <c r="E271" s="1124"/>
      <c r="F271" s="1124"/>
    </row>
    <row r="272" spans="1:12" ht="27.75" customHeight="1" thickBot="1" x14ac:dyDescent="0.25">
      <c r="A272" s="1120"/>
      <c r="B272" s="1122"/>
      <c r="C272" s="1125"/>
      <c r="D272" s="1125"/>
      <c r="E272" s="1125"/>
      <c r="F272" s="201" t="s">
        <v>520</v>
      </c>
    </row>
    <row r="273" spans="1:12" ht="15" customHeight="1" x14ac:dyDescent="0.2">
      <c r="A273" s="1150" t="s">
        <v>144</v>
      </c>
      <c r="B273" s="1141" t="s">
        <v>145</v>
      </c>
      <c r="C273" s="1141"/>
      <c r="D273" s="1141"/>
      <c r="E273" s="1141"/>
      <c r="F273" s="1141"/>
    </row>
    <row r="274" spans="1:12" ht="15" customHeight="1" x14ac:dyDescent="0.2">
      <c r="A274" s="1151"/>
      <c r="B274" s="374" t="s">
        <v>566</v>
      </c>
      <c r="C274" s="369">
        <v>219000</v>
      </c>
      <c r="D274" s="204">
        <v>1</v>
      </c>
      <c r="E274" s="204" t="s">
        <v>311</v>
      </c>
      <c r="F274" s="205">
        <f>SUM(C274*D274)</f>
        <v>219000</v>
      </c>
    </row>
    <row r="275" spans="1:12" ht="15" customHeight="1" x14ac:dyDescent="0.2">
      <c r="A275" s="1151"/>
      <c r="B275" s="374" t="s">
        <v>567</v>
      </c>
      <c r="C275" s="369">
        <v>290000</v>
      </c>
      <c r="D275" s="204">
        <v>11</v>
      </c>
      <c r="E275" s="204" t="s">
        <v>311</v>
      </c>
      <c r="F275" s="205">
        <f>SUM(C275*D275)</f>
        <v>3190000</v>
      </c>
      <c r="G275" s="219">
        <f>SUM(F274:F275)</f>
        <v>3409000</v>
      </c>
    </row>
    <row r="276" spans="1:12" ht="15" customHeight="1" x14ac:dyDescent="0.2">
      <c r="A276" s="1152"/>
      <c r="B276" s="1110" t="s">
        <v>345</v>
      </c>
      <c r="C276" s="1110"/>
      <c r="D276" s="1110"/>
      <c r="E276" s="1110"/>
      <c r="F276" s="206">
        <v>3420000</v>
      </c>
    </row>
    <row r="277" spans="1:12" ht="15" customHeight="1" x14ac:dyDescent="0.2">
      <c r="A277" s="180" t="s">
        <v>291</v>
      </c>
      <c r="B277" s="310" t="s">
        <v>292</v>
      </c>
      <c r="C277" s="311"/>
      <c r="D277" s="311"/>
      <c r="E277" s="311"/>
      <c r="F277" s="291">
        <v>0</v>
      </c>
    </row>
    <row r="278" spans="1:12" ht="15" customHeight="1" x14ac:dyDescent="0.2">
      <c r="A278" s="180" t="s">
        <v>430</v>
      </c>
      <c r="B278" s="649" t="s">
        <v>579</v>
      </c>
      <c r="C278" s="311"/>
      <c r="D278" s="311"/>
      <c r="E278" s="311"/>
      <c r="F278" s="291">
        <v>100000</v>
      </c>
    </row>
    <row r="279" spans="1:12" ht="15" customHeight="1" x14ac:dyDescent="0.2">
      <c r="A279" s="944" t="s">
        <v>146</v>
      </c>
      <c r="B279" s="1018" t="s">
        <v>147</v>
      </c>
      <c r="C279" s="311"/>
      <c r="D279" s="311"/>
      <c r="E279" s="311"/>
      <c r="F279" s="291"/>
    </row>
    <row r="280" spans="1:12" ht="15" customHeight="1" x14ac:dyDescent="0.2">
      <c r="A280" s="944" t="s">
        <v>148</v>
      </c>
      <c r="B280" s="368" t="s">
        <v>346</v>
      </c>
      <c r="C280" s="208">
        <v>1000</v>
      </c>
      <c r="D280" s="222">
        <v>12</v>
      </c>
      <c r="E280" s="222" t="s">
        <v>311</v>
      </c>
      <c r="F280" s="206">
        <f>SUM(C280*D280)</f>
        <v>12000</v>
      </c>
      <c r="J280" s="114"/>
    </row>
    <row r="281" spans="1:12" ht="15" customHeight="1" x14ac:dyDescent="0.2">
      <c r="A281" s="1148" t="s">
        <v>150</v>
      </c>
      <c r="B281" s="368" t="s">
        <v>151</v>
      </c>
      <c r="C281" s="208"/>
      <c r="D281" s="222">
        <v>12</v>
      </c>
      <c r="E281" s="222" t="s">
        <v>311</v>
      </c>
      <c r="F281" s="206">
        <f>SUM(F282:F283)</f>
        <v>200000</v>
      </c>
      <c r="J281" s="114"/>
    </row>
    <row r="282" spans="1:12" ht="15" customHeight="1" x14ac:dyDescent="0.2">
      <c r="A282" s="1148"/>
      <c r="B282" s="942" t="s">
        <v>569</v>
      </c>
      <c r="C282" s="947">
        <v>4000</v>
      </c>
      <c r="D282" s="379">
        <v>12</v>
      </c>
      <c r="E282" s="379"/>
      <c r="F282" s="289">
        <f>SUM(C282*D282)</f>
        <v>48000</v>
      </c>
      <c r="J282" s="114"/>
    </row>
    <row r="283" spans="1:12" ht="15" customHeight="1" x14ac:dyDescent="0.2">
      <c r="A283" s="1148"/>
      <c r="B283" s="942" t="s">
        <v>570</v>
      </c>
      <c r="C283" s="947"/>
      <c r="D283" s="379"/>
      <c r="E283" s="379"/>
      <c r="F283" s="289">
        <v>152000</v>
      </c>
      <c r="J283" s="114"/>
    </row>
    <row r="284" spans="1:12" ht="21" x14ac:dyDescent="0.2">
      <c r="A284" s="1004" t="s">
        <v>154</v>
      </c>
      <c r="B284" s="1001" t="s">
        <v>315</v>
      </c>
      <c r="C284" s="1001"/>
      <c r="D284" s="1001"/>
      <c r="E284" s="1001"/>
      <c r="F284" s="1007">
        <f>SUM(F285:F287)</f>
        <v>2445000</v>
      </c>
      <c r="J284" s="114"/>
    </row>
    <row r="285" spans="1:12" s="305" customFormat="1" x14ac:dyDescent="0.2">
      <c r="A285" s="1005"/>
      <c r="B285" s="1000" t="s">
        <v>724</v>
      </c>
      <c r="C285" s="1000">
        <v>25000</v>
      </c>
      <c r="D285" s="1000">
        <v>12</v>
      </c>
      <c r="E285" s="1000"/>
      <c r="F285" s="289">
        <f>SUM(C285*D285)</f>
        <v>300000</v>
      </c>
      <c r="G285" s="416"/>
      <c r="H285" s="1006"/>
      <c r="I285" s="954"/>
      <c r="J285" s="469"/>
    </row>
    <row r="286" spans="1:12" s="305" customFormat="1" x14ac:dyDescent="0.2">
      <c r="A286" s="1005"/>
      <c r="B286" s="1000" t="s">
        <v>725</v>
      </c>
      <c r="C286" s="1000">
        <v>165000</v>
      </c>
      <c r="D286" s="1000">
        <v>1</v>
      </c>
      <c r="E286" s="1000"/>
      <c r="F286" s="289">
        <f t="shared" ref="F286:F287" si="9">SUM(C286*D286)</f>
        <v>165000</v>
      </c>
      <c r="G286" s="416"/>
      <c r="H286" s="1006"/>
      <c r="I286" s="954"/>
      <c r="J286" s="469"/>
    </row>
    <row r="287" spans="1:12" s="305" customFormat="1" x14ac:dyDescent="0.2">
      <c r="A287" s="1005"/>
      <c r="B287" s="1000" t="s">
        <v>725</v>
      </c>
      <c r="C287" s="1000">
        <v>180000</v>
      </c>
      <c r="D287" s="1000">
        <v>11</v>
      </c>
      <c r="E287" s="1000"/>
      <c r="F287" s="289">
        <f t="shared" si="9"/>
        <v>1980000</v>
      </c>
      <c r="G287" s="416"/>
      <c r="H287" s="1006"/>
      <c r="I287" s="954"/>
      <c r="J287" s="469"/>
    </row>
    <row r="288" spans="1:12" ht="15" customHeight="1" x14ac:dyDescent="0.2">
      <c r="A288" s="1149" t="s">
        <v>158</v>
      </c>
      <c r="B288" s="368" t="s">
        <v>666</v>
      </c>
      <c r="C288" s="232"/>
      <c r="D288" s="232"/>
      <c r="E288" s="239">
        <f>C289*D288</f>
        <v>0</v>
      </c>
      <c r="F288" s="206">
        <v>820000</v>
      </c>
      <c r="J288" s="114"/>
      <c r="K288" s="158"/>
      <c r="L288" s="114"/>
    </row>
    <row r="289" spans="1:12" ht="15" customHeight="1" x14ac:dyDescent="0.2">
      <c r="A289" s="1149"/>
      <c r="B289" s="942" t="s">
        <v>673</v>
      </c>
      <c r="C289" s="947">
        <f>SUM(F276+F278+F280+F281+F284)</f>
        <v>6177000</v>
      </c>
      <c r="D289" s="381">
        <v>0.13</v>
      </c>
      <c r="E289" s="966"/>
      <c r="F289" s="289">
        <f>SUM(C289*D289)</f>
        <v>803010</v>
      </c>
      <c r="J289" s="114"/>
      <c r="K289" s="158"/>
      <c r="L289" s="114"/>
    </row>
    <row r="290" spans="1:12" ht="15" customHeight="1" x14ac:dyDescent="0.2">
      <c r="A290" s="1149"/>
      <c r="B290" s="942" t="s">
        <v>656</v>
      </c>
      <c r="C290" s="947">
        <f>SUM(F278)</f>
        <v>100000</v>
      </c>
      <c r="D290" s="381">
        <v>0.15</v>
      </c>
      <c r="E290" s="966"/>
      <c r="F290" s="289">
        <f>SUM(C290*D290)</f>
        <v>15000</v>
      </c>
      <c r="J290" s="114"/>
      <c r="K290" s="158"/>
      <c r="L290" s="114"/>
    </row>
    <row r="291" spans="1:12" ht="15" customHeight="1" x14ac:dyDescent="0.2">
      <c r="A291" s="195" t="s">
        <v>164</v>
      </c>
      <c r="B291" s="368" t="s">
        <v>163</v>
      </c>
      <c r="C291" s="208"/>
      <c r="D291" s="213"/>
      <c r="E291" s="208"/>
      <c r="F291" s="206">
        <v>0</v>
      </c>
      <c r="G291" s="219"/>
    </row>
    <row r="292" spans="1:12" ht="15" customHeight="1" x14ac:dyDescent="0.2">
      <c r="A292" s="1149" t="s">
        <v>170</v>
      </c>
      <c r="B292" s="654" t="s">
        <v>171</v>
      </c>
      <c r="C292" s="208"/>
      <c r="D292" s="213"/>
      <c r="E292" s="208"/>
      <c r="F292" s="206">
        <f>SUM(F293:F297)</f>
        <v>2500000</v>
      </c>
    </row>
    <row r="293" spans="1:12" ht="15" customHeight="1" x14ac:dyDescent="0.2">
      <c r="A293" s="1149"/>
      <c r="B293" s="375" t="s">
        <v>619</v>
      </c>
      <c r="C293" s="369"/>
      <c r="D293" s="214">
        <v>0.27</v>
      </c>
      <c r="E293" s="369"/>
      <c r="F293" s="205">
        <v>600000</v>
      </c>
      <c r="I293" s="80">
        <f>SUM(F293*D293)</f>
        <v>162000</v>
      </c>
    </row>
    <row r="294" spans="1:12" ht="15" customHeight="1" x14ac:dyDescent="0.2">
      <c r="A294" s="1149"/>
      <c r="B294" s="719" t="s">
        <v>620</v>
      </c>
      <c r="C294" s="721"/>
      <c r="D294" s="214">
        <v>0.27</v>
      </c>
      <c r="E294" s="721"/>
      <c r="F294" s="205">
        <v>100000</v>
      </c>
      <c r="I294" s="80">
        <f t="shared" ref="I294:I320" si="10">SUM(F294*D294)</f>
        <v>27000</v>
      </c>
    </row>
    <row r="295" spans="1:12" ht="15" customHeight="1" x14ac:dyDescent="0.2">
      <c r="A295" s="1149"/>
      <c r="B295" s="944" t="s">
        <v>674</v>
      </c>
      <c r="C295" s="946"/>
      <c r="D295" s="214">
        <v>0.27</v>
      </c>
      <c r="E295" s="946"/>
      <c r="F295" s="205">
        <v>220000</v>
      </c>
      <c r="I295" s="80">
        <f t="shared" si="10"/>
        <v>59400.000000000007</v>
      </c>
    </row>
    <row r="296" spans="1:12" ht="15" customHeight="1" x14ac:dyDescent="0.2">
      <c r="A296" s="1149"/>
      <c r="B296" s="375" t="s">
        <v>321</v>
      </c>
      <c r="C296" s="369"/>
      <c r="D296" s="214">
        <v>0.27</v>
      </c>
      <c r="E296" s="369"/>
      <c r="F296" s="205">
        <v>60000</v>
      </c>
      <c r="I296" s="80">
        <f t="shared" si="10"/>
        <v>16200.000000000002</v>
      </c>
    </row>
    <row r="297" spans="1:12" ht="15" customHeight="1" x14ac:dyDescent="0.2">
      <c r="A297" s="1149"/>
      <c r="B297" s="375" t="s">
        <v>347</v>
      </c>
      <c r="C297" s="369"/>
      <c r="D297" s="214">
        <v>0.27</v>
      </c>
      <c r="E297" s="369"/>
      <c r="F297" s="205">
        <v>1520000</v>
      </c>
      <c r="G297" s="285"/>
      <c r="I297" s="80">
        <f t="shared" si="10"/>
        <v>410400</v>
      </c>
    </row>
    <row r="298" spans="1:12" ht="15" customHeight="1" x14ac:dyDescent="0.2">
      <c r="A298" s="1148" t="s">
        <v>432</v>
      </c>
      <c r="B298" s="971" t="s">
        <v>323</v>
      </c>
      <c r="C298" s="972"/>
      <c r="D298" s="972"/>
      <c r="E298" s="972"/>
      <c r="F298" s="973">
        <f>SUM(F299)</f>
        <v>165600</v>
      </c>
      <c r="G298" s="219"/>
      <c r="I298" s="80"/>
    </row>
    <row r="299" spans="1:12" ht="15" customHeight="1" x14ac:dyDescent="0.2">
      <c r="A299" s="1148"/>
      <c r="B299" s="218" t="s">
        <v>624</v>
      </c>
      <c r="C299" s="946">
        <v>13800</v>
      </c>
      <c r="D299" s="214">
        <v>0.05</v>
      </c>
      <c r="E299" s="944">
        <v>12</v>
      </c>
      <c r="F299" s="970">
        <f>SUM(C299*E299)</f>
        <v>165600</v>
      </c>
      <c r="G299" s="219"/>
      <c r="I299" s="80">
        <f t="shared" si="10"/>
        <v>8280</v>
      </c>
    </row>
    <row r="300" spans="1:12" ht="15" customHeight="1" x14ac:dyDescent="0.2">
      <c r="A300" s="1148" t="s">
        <v>187</v>
      </c>
      <c r="B300" s="971" t="s">
        <v>290</v>
      </c>
      <c r="C300" s="972"/>
      <c r="D300" s="972"/>
      <c r="E300" s="972"/>
      <c r="F300" s="973">
        <f>SUM(F301+F308+F309)</f>
        <v>500000</v>
      </c>
      <c r="G300" s="219"/>
      <c r="I300" s="80"/>
    </row>
    <row r="301" spans="1:12" ht="15" customHeight="1" x14ac:dyDescent="0.2">
      <c r="A301" s="1148"/>
      <c r="B301" s="974" t="s">
        <v>270</v>
      </c>
      <c r="C301" s="865"/>
      <c r="D301" s="284"/>
      <c r="E301" s="865"/>
      <c r="F301" s="288">
        <f>SUM(F302:F307)</f>
        <v>470000</v>
      </c>
      <c r="G301" s="219"/>
      <c r="I301" s="80"/>
    </row>
    <row r="302" spans="1:12" ht="15" customHeight="1" x14ac:dyDescent="0.2">
      <c r="A302" s="1148"/>
      <c r="B302" s="452" t="s">
        <v>675</v>
      </c>
      <c r="C302" s="947"/>
      <c r="D302" s="284">
        <v>0.27</v>
      </c>
      <c r="E302" s="947"/>
      <c r="F302" s="289">
        <v>30000</v>
      </c>
      <c r="G302" s="219"/>
      <c r="I302" s="80">
        <f t="shared" si="10"/>
        <v>8100.0000000000009</v>
      </c>
    </row>
    <row r="303" spans="1:12" ht="15" customHeight="1" x14ac:dyDescent="0.2">
      <c r="A303" s="1148"/>
      <c r="B303" s="452" t="s">
        <v>676</v>
      </c>
      <c r="C303" s="947"/>
      <c r="D303" s="284">
        <v>0.27</v>
      </c>
      <c r="E303" s="947"/>
      <c r="F303" s="289">
        <v>150000</v>
      </c>
      <c r="G303" s="219"/>
      <c r="I303" s="80">
        <f t="shared" si="10"/>
        <v>40500</v>
      </c>
    </row>
    <row r="304" spans="1:12" ht="15" customHeight="1" x14ac:dyDescent="0.2">
      <c r="A304" s="1148"/>
      <c r="B304" s="452" t="s">
        <v>678</v>
      </c>
      <c r="C304" s="947">
        <v>2000</v>
      </c>
      <c r="D304" s="284">
        <v>0.27</v>
      </c>
      <c r="E304" s="947">
        <v>12</v>
      </c>
      <c r="F304" s="289">
        <f>SUM(C304*E304)</f>
        <v>24000</v>
      </c>
      <c r="G304" s="219"/>
      <c r="I304" s="80">
        <f t="shared" si="10"/>
        <v>6480</v>
      </c>
    </row>
    <row r="305" spans="1:9" ht="15" customHeight="1" x14ac:dyDescent="0.2">
      <c r="A305" s="1148"/>
      <c r="B305" s="452" t="s">
        <v>679</v>
      </c>
      <c r="C305" s="947"/>
      <c r="D305" s="284">
        <v>0.27</v>
      </c>
      <c r="E305" s="947"/>
      <c r="F305" s="289">
        <v>160000</v>
      </c>
      <c r="G305" s="219"/>
      <c r="I305" s="80">
        <f t="shared" si="10"/>
        <v>43200</v>
      </c>
    </row>
    <row r="306" spans="1:9" ht="15" customHeight="1" x14ac:dyDescent="0.2">
      <c r="A306" s="1148"/>
      <c r="B306" s="452" t="s">
        <v>680</v>
      </c>
      <c r="C306" s="947"/>
      <c r="D306" s="284">
        <v>0.27</v>
      </c>
      <c r="E306" s="947"/>
      <c r="F306" s="289">
        <v>10000</v>
      </c>
      <c r="G306" s="219"/>
      <c r="I306" s="80">
        <f t="shared" si="10"/>
        <v>2700</v>
      </c>
    </row>
    <row r="307" spans="1:9" ht="15" customHeight="1" x14ac:dyDescent="0.2">
      <c r="A307" s="1148"/>
      <c r="B307" s="452" t="s">
        <v>677</v>
      </c>
      <c r="C307" s="947">
        <v>8000</v>
      </c>
      <c r="D307" s="284">
        <v>0.27</v>
      </c>
      <c r="E307" s="947">
        <v>12</v>
      </c>
      <c r="F307" s="289">
        <f>SUM(C307*E307)</f>
        <v>96000</v>
      </c>
      <c r="G307" s="219"/>
      <c r="I307" s="80">
        <f t="shared" si="10"/>
        <v>25920</v>
      </c>
    </row>
    <row r="308" spans="1:9" ht="15" customHeight="1" x14ac:dyDescent="0.2">
      <c r="A308" s="1148"/>
      <c r="B308" s="974" t="s">
        <v>271</v>
      </c>
      <c r="C308" s="865"/>
      <c r="D308" s="284"/>
      <c r="E308" s="865"/>
      <c r="F308" s="288">
        <v>0</v>
      </c>
      <c r="G308" s="219"/>
      <c r="I308" s="80"/>
    </row>
    <row r="309" spans="1:9" ht="15" customHeight="1" x14ac:dyDescent="0.2">
      <c r="A309" s="1148"/>
      <c r="B309" s="974" t="s">
        <v>282</v>
      </c>
      <c r="C309" s="865"/>
      <c r="D309" s="284">
        <v>0.27</v>
      </c>
      <c r="E309" s="865"/>
      <c r="F309" s="288">
        <v>30000</v>
      </c>
      <c r="G309" s="219"/>
      <c r="I309" s="80">
        <f t="shared" si="10"/>
        <v>8100.0000000000009</v>
      </c>
    </row>
    <row r="310" spans="1:9" ht="15" customHeight="1" x14ac:dyDescent="0.2">
      <c r="A310" s="944" t="s">
        <v>197</v>
      </c>
      <c r="B310" s="368" t="s">
        <v>198</v>
      </c>
      <c r="C310" s="208"/>
      <c r="D310" s="213">
        <v>0.27</v>
      </c>
      <c r="E310" s="208"/>
      <c r="F310" s="206">
        <v>0</v>
      </c>
      <c r="G310" s="219"/>
      <c r="I310" s="80">
        <f t="shared" si="10"/>
        <v>0</v>
      </c>
    </row>
    <row r="311" spans="1:9" ht="15" customHeight="1" x14ac:dyDescent="0.2">
      <c r="A311" s="366" t="s">
        <v>199</v>
      </c>
      <c r="B311" s="971" t="s">
        <v>200</v>
      </c>
      <c r="C311" s="972"/>
      <c r="D311" s="972"/>
      <c r="E311" s="972"/>
      <c r="F311" s="973">
        <f>SUM(F312:F313)</f>
        <v>750000</v>
      </c>
      <c r="G311" s="219"/>
      <c r="I311" s="80">
        <f t="shared" si="10"/>
        <v>0</v>
      </c>
    </row>
    <row r="312" spans="1:9" ht="15" customHeight="1" x14ac:dyDescent="0.2">
      <c r="A312" s="373"/>
      <c r="B312" s="375" t="s">
        <v>623</v>
      </c>
      <c r="C312" s="369"/>
      <c r="D312" s="214">
        <v>0.27</v>
      </c>
      <c r="E312" s="369"/>
      <c r="F312" s="205">
        <v>250000</v>
      </c>
      <c r="G312" s="219"/>
      <c r="I312" s="80">
        <f t="shared" si="10"/>
        <v>67500</v>
      </c>
    </row>
    <row r="313" spans="1:9" ht="15" customHeight="1" x14ac:dyDescent="0.2">
      <c r="A313" s="373"/>
      <c r="B313" s="564" t="s">
        <v>348</v>
      </c>
      <c r="C313" s="562"/>
      <c r="D313" s="284">
        <v>0.27</v>
      </c>
      <c r="E313" s="562"/>
      <c r="F313" s="289">
        <v>500000</v>
      </c>
      <c r="G313" s="219"/>
      <c r="H313" s="676"/>
      <c r="I313" s="80">
        <f t="shared" si="10"/>
        <v>135000</v>
      </c>
    </row>
    <row r="314" spans="1:9" ht="15" customHeight="1" x14ac:dyDescent="0.2">
      <c r="A314" s="373" t="s">
        <v>203</v>
      </c>
      <c r="B314" s="967" t="s">
        <v>204</v>
      </c>
      <c r="C314" s="968"/>
      <c r="D314" s="968"/>
      <c r="E314" s="968"/>
      <c r="F314" s="969">
        <v>0</v>
      </c>
      <c r="G314" s="219"/>
      <c r="I314" s="80">
        <f t="shared" si="10"/>
        <v>0</v>
      </c>
    </row>
    <row r="315" spans="1:9" ht="15" customHeight="1" x14ac:dyDescent="0.2">
      <c r="A315" s="373" t="s">
        <v>205</v>
      </c>
      <c r="B315" s="971" t="s">
        <v>206</v>
      </c>
      <c r="C315" s="972"/>
      <c r="D315" s="972"/>
      <c r="E315" s="972"/>
      <c r="F315" s="973">
        <f>SUM(F316:F319)</f>
        <v>2000000</v>
      </c>
      <c r="G315" s="219"/>
      <c r="I315" s="80">
        <f t="shared" si="10"/>
        <v>0</v>
      </c>
    </row>
    <row r="316" spans="1:9" ht="15" customHeight="1" x14ac:dyDescent="0.2">
      <c r="A316" s="372"/>
      <c r="B316" s="374" t="s">
        <v>681</v>
      </c>
      <c r="C316" s="369">
        <v>22000</v>
      </c>
      <c r="D316" s="214">
        <v>0.27</v>
      </c>
      <c r="E316" s="369">
        <v>12</v>
      </c>
      <c r="F316" s="205">
        <f>SUM(C316*E316)</f>
        <v>264000</v>
      </c>
      <c r="G316" s="742"/>
      <c r="I316" s="80">
        <f t="shared" si="10"/>
        <v>71280</v>
      </c>
    </row>
    <row r="317" spans="1:9" ht="15" customHeight="1" x14ac:dyDescent="0.2">
      <c r="A317" s="372"/>
      <c r="B317" s="943" t="s">
        <v>682</v>
      </c>
      <c r="C317" s="946"/>
      <c r="D317" s="214">
        <v>0.27</v>
      </c>
      <c r="E317" s="946"/>
      <c r="F317" s="205">
        <v>150000</v>
      </c>
      <c r="G317" s="742"/>
      <c r="I317" s="80">
        <f t="shared" si="10"/>
        <v>40500</v>
      </c>
    </row>
    <row r="318" spans="1:9" ht="15" customHeight="1" x14ac:dyDescent="0.2">
      <c r="A318" s="372"/>
      <c r="B318" s="943" t="s">
        <v>208</v>
      </c>
      <c r="C318" s="946"/>
      <c r="D318" s="214"/>
      <c r="E318" s="946"/>
      <c r="F318" s="205">
        <v>150000</v>
      </c>
      <c r="G318" s="742"/>
      <c r="I318" s="80"/>
    </row>
    <row r="319" spans="1:9" ht="15" customHeight="1" x14ac:dyDescent="0.2">
      <c r="A319" s="372"/>
      <c r="B319" s="452" t="s">
        <v>210</v>
      </c>
      <c r="C319" s="562"/>
      <c r="D319" s="284">
        <v>0.27</v>
      </c>
      <c r="E319" s="562"/>
      <c r="F319" s="289">
        <v>1436000</v>
      </c>
      <c r="G319" s="285"/>
      <c r="I319" s="80">
        <f t="shared" si="10"/>
        <v>387720</v>
      </c>
    </row>
    <row r="320" spans="1:9" ht="15" customHeight="1" x14ac:dyDescent="0.2">
      <c r="A320" s="366" t="s">
        <v>211</v>
      </c>
      <c r="B320" s="967" t="s">
        <v>212</v>
      </c>
      <c r="C320" s="968"/>
      <c r="D320" s="968"/>
      <c r="E320" s="968"/>
      <c r="F320" s="969">
        <v>0</v>
      </c>
      <c r="G320" s="219"/>
      <c r="I320" s="80">
        <f t="shared" si="10"/>
        <v>0</v>
      </c>
    </row>
    <row r="321" spans="1:15" ht="21.75" customHeight="1" x14ac:dyDescent="0.2">
      <c r="A321" s="373" t="s">
        <v>213</v>
      </c>
      <c r="B321" s="368" t="s">
        <v>273</v>
      </c>
      <c r="C321" s="208"/>
      <c r="D321" s="213">
        <v>0.27</v>
      </c>
      <c r="E321" s="208"/>
      <c r="F321" s="206">
        <v>1400000</v>
      </c>
      <c r="G321" s="228"/>
      <c r="I321" s="80">
        <f>SUM(I293:I320)</f>
        <v>1520280</v>
      </c>
      <c r="J321" s="114"/>
    </row>
    <row r="322" spans="1:15" ht="15" customHeight="1" x14ac:dyDescent="0.2">
      <c r="A322" s="94" t="s">
        <v>217</v>
      </c>
      <c r="B322" s="307" t="s">
        <v>425</v>
      </c>
      <c r="C322" s="350"/>
      <c r="D322" s="403"/>
      <c r="E322" s="350"/>
      <c r="F322" s="206">
        <v>0</v>
      </c>
      <c r="G322" s="228"/>
      <c r="J322" s="114"/>
    </row>
    <row r="323" spans="1:15" ht="17.25" customHeight="1" x14ac:dyDescent="0.2">
      <c r="A323" s="373" t="s">
        <v>249</v>
      </c>
      <c r="B323" s="1111" t="s">
        <v>250</v>
      </c>
      <c r="C323" s="1111"/>
      <c r="D323" s="1111"/>
      <c r="E323" s="1111"/>
      <c r="F323" s="1111"/>
      <c r="G323" s="400" t="s">
        <v>424</v>
      </c>
      <c r="H323" s="682"/>
      <c r="I323" s="695"/>
      <c r="J323" s="401"/>
      <c r="K323" s="402">
        <v>4304160</v>
      </c>
    </row>
    <row r="324" spans="1:15" ht="17.25" customHeight="1" x14ac:dyDescent="0.2">
      <c r="A324" s="372"/>
      <c r="B324" s="162" t="s">
        <v>702</v>
      </c>
      <c r="C324" s="306"/>
      <c r="D324" s="306"/>
      <c r="E324" s="306"/>
      <c r="F324" s="197">
        <v>240000</v>
      </c>
      <c r="G324" s="416"/>
      <c r="J324" s="114"/>
    </row>
    <row r="325" spans="1:15" ht="16.5" customHeight="1" x14ac:dyDescent="0.2">
      <c r="A325" s="153"/>
      <c r="B325" s="1101" t="s">
        <v>349</v>
      </c>
      <c r="C325" s="1101"/>
      <c r="D325" s="1101"/>
      <c r="E325" s="1101"/>
      <c r="F325" s="224">
        <f>F324</f>
        <v>240000</v>
      </c>
      <c r="H325" s="676"/>
    </row>
    <row r="326" spans="1:15" ht="26.25" customHeight="1" x14ac:dyDescent="0.2">
      <c r="A326" s="372" t="s">
        <v>251</v>
      </c>
      <c r="B326" s="362" t="s">
        <v>278</v>
      </c>
      <c r="C326" s="367">
        <f>F325</f>
        <v>240000</v>
      </c>
      <c r="D326" s="226">
        <v>0.27</v>
      </c>
      <c r="E326" s="367">
        <f>C326*D326</f>
        <v>64800.000000000007</v>
      </c>
      <c r="F326" s="224">
        <v>65000</v>
      </c>
      <c r="H326" s="689"/>
      <c r="J326" s="114"/>
    </row>
    <row r="327" spans="1:15" ht="26.25" customHeight="1" x14ac:dyDescent="0.2">
      <c r="A327" s="750" t="s">
        <v>299</v>
      </c>
      <c r="B327" s="424" t="s">
        <v>643</v>
      </c>
      <c r="C327" s="425"/>
      <c r="D327" s="751">
        <v>0.27</v>
      </c>
      <c r="E327" s="425"/>
      <c r="F327" s="427"/>
      <c r="H327" s="689"/>
      <c r="J327" s="114"/>
      <c r="K327" s="220"/>
      <c r="L327" s="220"/>
      <c r="M327" s="220"/>
      <c r="N327" s="134"/>
      <c r="O327" s="134"/>
    </row>
    <row r="328" spans="1:15" ht="26.25" customHeight="1" x14ac:dyDescent="0.2">
      <c r="A328" s="94" t="s">
        <v>300</v>
      </c>
      <c r="B328" s="362" t="s">
        <v>279</v>
      </c>
      <c r="C328" s="367">
        <f>F327</f>
        <v>0</v>
      </c>
      <c r="D328" s="226">
        <v>0.27</v>
      </c>
      <c r="E328" s="367"/>
      <c r="F328" s="224"/>
      <c r="H328" s="689"/>
      <c r="J328" s="114"/>
      <c r="K328" s="220"/>
      <c r="L328" s="220"/>
      <c r="M328" s="220"/>
      <c r="N328" s="134"/>
      <c r="O328" s="134"/>
    </row>
    <row r="329" spans="1:15" ht="33.75" customHeight="1" thickBot="1" x14ac:dyDescent="0.25">
      <c r="A329" s="107" t="s">
        <v>426</v>
      </c>
      <c r="B329" s="240" t="s">
        <v>427</v>
      </c>
      <c r="C329" s="241"/>
      <c r="D329" s="242"/>
      <c r="E329" s="241"/>
      <c r="F329" s="243">
        <v>0</v>
      </c>
      <c r="H329" s="689"/>
      <c r="J329" s="114"/>
      <c r="K329" s="220"/>
      <c r="L329" s="220"/>
      <c r="M329" s="220"/>
      <c r="N329" s="134"/>
      <c r="O329" s="134"/>
    </row>
    <row r="330" spans="1:15" ht="23.25" customHeight="1" thickBot="1" x14ac:dyDescent="0.25">
      <c r="A330" s="1156" t="s">
        <v>281</v>
      </c>
      <c r="B330" s="1156"/>
      <c r="C330" s="1156"/>
      <c r="D330" s="1156"/>
      <c r="E330" s="1156"/>
      <c r="F330" s="404">
        <f>F276+F277+F278+F279+F280+F281+F288+F291+F292+F298+F300+F310+F311+F314+F315+F320+F321+F322+F325+F326+F328+F329</f>
        <v>12172600</v>
      </c>
      <c r="G330" s="219">
        <f>SUM(F330-'Kiadások COFOG szerint'!F189)</f>
        <v>0</v>
      </c>
      <c r="K330" s="220"/>
      <c r="L330" s="220"/>
      <c r="M330" s="220"/>
      <c r="N330" s="134"/>
      <c r="O330" s="134"/>
    </row>
    <row r="331" spans="1:15" ht="24" customHeight="1" thickBot="1" x14ac:dyDescent="0.25">
      <c r="A331" s="1119" t="s">
        <v>135</v>
      </c>
      <c r="B331" s="1119"/>
      <c r="C331" s="1119"/>
      <c r="D331" s="1119"/>
      <c r="E331" s="1119"/>
      <c r="F331" s="1119"/>
      <c r="K331" s="220"/>
      <c r="L331" s="220"/>
      <c r="M331" s="220"/>
      <c r="N331" s="134"/>
      <c r="O331" s="134"/>
    </row>
    <row r="332" spans="1:15" ht="23.25" customHeight="1" thickBot="1" x14ac:dyDescent="0.25">
      <c r="A332" s="1120" t="s">
        <v>46</v>
      </c>
      <c r="B332" s="1122" t="s">
        <v>47</v>
      </c>
      <c r="C332" s="1124">
        <v>2022</v>
      </c>
      <c r="D332" s="1124"/>
      <c r="E332" s="1124"/>
      <c r="F332" s="1124"/>
      <c r="K332" s="220"/>
      <c r="L332" s="220"/>
      <c r="M332" s="220"/>
      <c r="N332" s="475"/>
      <c r="O332" s="134"/>
    </row>
    <row r="333" spans="1:15" ht="25.5" customHeight="1" thickBot="1" x14ac:dyDescent="0.25">
      <c r="A333" s="1120"/>
      <c r="B333" s="1122"/>
      <c r="C333" s="1125"/>
      <c r="D333" s="1125"/>
      <c r="E333" s="1125"/>
      <c r="F333" s="201" t="s">
        <v>520</v>
      </c>
      <c r="H333" s="673" t="s">
        <v>568</v>
      </c>
      <c r="J333" s="122">
        <v>8672400</v>
      </c>
      <c r="K333" s="220"/>
      <c r="L333" s="220"/>
      <c r="M333" s="220"/>
      <c r="N333" s="134"/>
      <c r="O333" s="134"/>
    </row>
    <row r="334" spans="1:15" ht="15" customHeight="1" x14ac:dyDescent="0.2">
      <c r="A334" s="105" t="s">
        <v>142</v>
      </c>
      <c r="B334" s="211" t="s">
        <v>143</v>
      </c>
      <c r="C334" s="115"/>
      <c r="D334" s="109"/>
      <c r="E334" s="109"/>
      <c r="F334" s="244"/>
    </row>
    <row r="335" spans="1:15" ht="15" customHeight="1" x14ac:dyDescent="0.2">
      <c r="A335" s="207"/>
      <c r="B335" s="211" t="s">
        <v>662</v>
      </c>
      <c r="C335" s="644">
        <v>524185</v>
      </c>
      <c r="D335" s="204">
        <v>1</v>
      </c>
      <c r="E335" s="204" t="s">
        <v>311</v>
      </c>
      <c r="F335" s="244">
        <f>SUM(C335*D335)</f>
        <v>524185</v>
      </c>
    </row>
    <row r="336" spans="1:15" ht="14.25" customHeight="1" x14ac:dyDescent="0.2">
      <c r="A336" s="207"/>
      <c r="B336" s="211" t="s">
        <v>663</v>
      </c>
      <c r="C336" s="109">
        <v>630000</v>
      </c>
      <c r="D336" s="204">
        <v>11</v>
      </c>
      <c r="E336" s="204" t="s">
        <v>311</v>
      </c>
      <c r="F336" s="244">
        <f>SUM(C336*D336)</f>
        <v>6930000</v>
      </c>
      <c r="G336" s="219">
        <f>SUM(F335:F336)</f>
        <v>7454185</v>
      </c>
    </row>
    <row r="337" spans="1:11" ht="14.25" customHeight="1" x14ac:dyDescent="0.2">
      <c r="A337" s="372"/>
      <c r="B337" s="565"/>
      <c r="C337" s="217"/>
      <c r="D337" s="408"/>
      <c r="E337" s="204"/>
      <c r="F337" s="205"/>
    </row>
    <row r="338" spans="1:11" ht="15" customHeight="1" x14ac:dyDescent="0.2">
      <c r="A338" s="89"/>
      <c r="B338" s="1110" t="s">
        <v>350</v>
      </c>
      <c r="C338" s="1110"/>
      <c r="D338" s="1110"/>
      <c r="E338" s="1110"/>
      <c r="F338" s="206">
        <v>7500000</v>
      </c>
    </row>
    <row r="339" spans="1:11" ht="15" customHeight="1" x14ac:dyDescent="0.2">
      <c r="A339" s="376" t="s">
        <v>428</v>
      </c>
      <c r="B339" s="412" t="s">
        <v>429</v>
      </c>
      <c r="C339" s="414"/>
      <c r="D339" s="379"/>
      <c r="E339" s="379"/>
      <c r="F339" s="288">
        <v>200000</v>
      </c>
    </row>
    <row r="340" spans="1:11" ht="15" customHeight="1" x14ac:dyDescent="0.2">
      <c r="A340" s="587" t="s">
        <v>549</v>
      </c>
      <c r="B340" s="424" t="s">
        <v>550</v>
      </c>
      <c r="C340" s="589"/>
      <c r="D340" s="379"/>
      <c r="E340" s="379" t="s">
        <v>311</v>
      </c>
      <c r="F340" s="288"/>
    </row>
    <row r="341" spans="1:11" ht="15" customHeight="1" x14ac:dyDescent="0.2">
      <c r="A341" s="376" t="s">
        <v>430</v>
      </c>
      <c r="B341" s="424" t="s">
        <v>431</v>
      </c>
      <c r="C341" s="414"/>
      <c r="D341" s="379"/>
      <c r="E341" s="379"/>
      <c r="F341" s="288">
        <v>200000</v>
      </c>
    </row>
    <row r="342" spans="1:11" ht="15" customHeight="1" x14ac:dyDescent="0.2">
      <c r="A342" s="376" t="s">
        <v>146</v>
      </c>
      <c r="B342" s="412" t="s">
        <v>147</v>
      </c>
      <c r="C342" s="414"/>
      <c r="D342" s="379"/>
      <c r="E342" s="379"/>
      <c r="F342" s="288"/>
    </row>
    <row r="343" spans="1:11" ht="15" customHeight="1" x14ac:dyDescent="0.2">
      <c r="A343" s="89" t="s">
        <v>148</v>
      </c>
      <c r="B343" s="412" t="s">
        <v>149</v>
      </c>
      <c r="C343" s="414"/>
      <c r="D343" s="414"/>
      <c r="E343" s="414"/>
      <c r="F343" s="288">
        <v>12000</v>
      </c>
      <c r="K343" s="158"/>
    </row>
    <row r="344" spans="1:11" ht="15" customHeight="1" x14ac:dyDescent="0.2">
      <c r="A344" s="117" t="s">
        <v>293</v>
      </c>
      <c r="B344" s="412" t="s">
        <v>151</v>
      </c>
      <c r="C344" s="414"/>
      <c r="D344" s="414"/>
      <c r="E344" s="414"/>
      <c r="F344" s="288">
        <f>SUM(F345:F346)</f>
        <v>378000</v>
      </c>
      <c r="K344" s="158"/>
    </row>
    <row r="345" spans="1:11" ht="15" customHeight="1" x14ac:dyDescent="0.2">
      <c r="A345" s="648"/>
      <c r="B345" s="650" t="s">
        <v>569</v>
      </c>
      <c r="C345" s="455">
        <v>4000</v>
      </c>
      <c r="D345" s="455">
        <v>12</v>
      </c>
      <c r="E345" s="455">
        <v>1</v>
      </c>
      <c r="F345" s="288">
        <f>SUM(C345*D345)</f>
        <v>48000</v>
      </c>
      <c r="K345" s="158"/>
    </row>
    <row r="346" spans="1:11" ht="15" customHeight="1" x14ac:dyDescent="0.2">
      <c r="A346" s="648"/>
      <c r="B346" s="650" t="s">
        <v>570</v>
      </c>
      <c r="C346" s="455"/>
      <c r="D346" s="455"/>
      <c r="E346" s="455"/>
      <c r="F346" s="288">
        <v>330000</v>
      </c>
      <c r="K346" s="158"/>
    </row>
    <row r="347" spans="1:11" ht="27" customHeight="1" x14ac:dyDescent="0.2">
      <c r="A347" s="563" t="s">
        <v>154</v>
      </c>
      <c r="B347" s="1110" t="s">
        <v>155</v>
      </c>
      <c r="C347" s="1110"/>
      <c r="D347" s="1110"/>
      <c r="E347" s="1110"/>
      <c r="F347" s="206">
        <f>SUM(F348:F349)</f>
        <v>950000</v>
      </c>
    </row>
    <row r="348" spans="1:11" ht="15" customHeight="1" x14ac:dyDescent="0.2">
      <c r="A348" s="1003"/>
      <c r="B348" s="1000" t="s">
        <v>726</v>
      </c>
      <c r="C348" s="455">
        <v>70000</v>
      </c>
      <c r="D348" s="455">
        <v>1</v>
      </c>
      <c r="E348" s="455"/>
      <c r="F348" s="288">
        <f>SUM(C348*D348)</f>
        <v>70000</v>
      </c>
      <c r="K348" s="158"/>
    </row>
    <row r="349" spans="1:11" ht="15" customHeight="1" x14ac:dyDescent="0.2">
      <c r="A349" s="1003"/>
      <c r="B349" s="1000" t="s">
        <v>726</v>
      </c>
      <c r="C349" s="455">
        <v>80000</v>
      </c>
      <c r="D349" s="455">
        <v>11</v>
      </c>
      <c r="E349" s="455"/>
      <c r="F349" s="288">
        <f>SUM(C349*D349)</f>
        <v>880000</v>
      </c>
      <c r="K349" s="158"/>
    </row>
    <row r="350" spans="1:11" ht="15" customHeight="1" x14ac:dyDescent="0.2">
      <c r="A350" s="955" t="s">
        <v>8</v>
      </c>
      <c r="B350" s="1154" t="s">
        <v>9</v>
      </c>
      <c r="C350" s="1154"/>
      <c r="D350" s="1154"/>
      <c r="E350" s="1155"/>
      <c r="F350" s="291">
        <f>SUM(F338+F339+F341+F343+F344+F347)</f>
        <v>9240000</v>
      </c>
      <c r="K350" s="158"/>
    </row>
    <row r="351" spans="1:11" ht="18" customHeight="1" x14ac:dyDescent="0.2">
      <c r="A351" s="1143" t="s">
        <v>351</v>
      </c>
      <c r="B351" s="1111" t="s">
        <v>159</v>
      </c>
      <c r="C351" s="1111"/>
      <c r="D351" s="1111"/>
      <c r="E351" s="1111"/>
      <c r="F351" s="1111"/>
    </row>
    <row r="352" spans="1:11" ht="18" customHeight="1" x14ac:dyDescent="0.2">
      <c r="A352" s="1143"/>
      <c r="B352" s="218" t="s">
        <v>664</v>
      </c>
      <c r="C352" s="935">
        <f>SUM(F341)</f>
        <v>200000</v>
      </c>
      <c r="D352" s="245">
        <v>0.15</v>
      </c>
      <c r="E352" s="218"/>
      <c r="F352" s="205">
        <f>SUM(C352*D352)</f>
        <v>30000</v>
      </c>
    </row>
    <row r="353" spans="1:9" ht="18" customHeight="1" x14ac:dyDescent="0.2">
      <c r="A353" s="1143"/>
      <c r="B353" s="90" t="s">
        <v>159</v>
      </c>
      <c r="C353" s="109">
        <f>F338+F339+F343+F344+F341+F342+F347+F340</f>
        <v>9240000</v>
      </c>
      <c r="D353" s="245">
        <v>0.13</v>
      </c>
      <c r="F353" s="109">
        <f>C353*D353</f>
        <v>1201200</v>
      </c>
    </row>
    <row r="354" spans="1:9" ht="18" customHeight="1" x14ac:dyDescent="0.2">
      <c r="A354" s="1143"/>
      <c r="B354" s="1101" t="s">
        <v>665</v>
      </c>
      <c r="C354" s="1101"/>
      <c r="D354" s="1101"/>
      <c r="E354" s="1101"/>
      <c r="F354" s="206">
        <v>1300000</v>
      </c>
      <c r="H354" s="875"/>
    </row>
    <row r="355" spans="1:9" ht="18" customHeight="1" x14ac:dyDescent="0.2">
      <c r="A355" s="117" t="s">
        <v>162</v>
      </c>
      <c r="B355" s="863" t="s">
        <v>163</v>
      </c>
      <c r="C355" s="311"/>
      <c r="D355" s="664">
        <v>0.05</v>
      </c>
      <c r="E355" s="311"/>
      <c r="F355" s="291">
        <v>50000</v>
      </c>
      <c r="G355" s="219"/>
      <c r="H355" s="951">
        <f>SUM(F355*D355)</f>
        <v>2500</v>
      </c>
    </row>
    <row r="356" spans="1:9" ht="18" customHeight="1" x14ac:dyDescent="0.2">
      <c r="A356" s="89" t="s">
        <v>170</v>
      </c>
      <c r="B356" s="649" t="s">
        <v>171</v>
      </c>
      <c r="C356" s="311"/>
      <c r="D356" s="664">
        <v>0.27</v>
      </c>
      <c r="E356" s="311"/>
      <c r="F356" s="291">
        <f>SUM(F357:F358)</f>
        <v>150000</v>
      </c>
      <c r="G356" s="219"/>
      <c r="H356" s="951">
        <f>SUM(F356*D356)</f>
        <v>40500</v>
      </c>
    </row>
    <row r="357" spans="1:9" ht="18" customHeight="1" x14ac:dyDescent="0.2">
      <c r="A357" s="642"/>
      <c r="B357" s="650" t="s">
        <v>578</v>
      </c>
      <c r="C357" s="646"/>
      <c r="D357" s="284"/>
      <c r="E357" s="646">
        <v>50000</v>
      </c>
      <c r="F357" s="288">
        <v>50000</v>
      </c>
      <c r="G357" s="219"/>
      <c r="H357" s="951"/>
    </row>
    <row r="358" spans="1:9" ht="18" customHeight="1" x14ac:dyDescent="0.2">
      <c r="A358" s="642"/>
      <c r="B358" s="650" t="s">
        <v>614</v>
      </c>
      <c r="C358" s="646"/>
      <c r="D358" s="284"/>
      <c r="E358" s="646"/>
      <c r="F358" s="288">
        <v>100000</v>
      </c>
      <c r="G358" s="219"/>
      <c r="H358" s="951"/>
    </row>
    <row r="359" spans="1:9" ht="18" customHeight="1" x14ac:dyDescent="0.2">
      <c r="A359" s="371" t="s">
        <v>432</v>
      </c>
      <c r="B359" s="863" t="s">
        <v>323</v>
      </c>
      <c r="C359" s="311"/>
      <c r="D359" s="664"/>
      <c r="E359" s="311"/>
      <c r="F359" s="291">
        <f>SUM(F360)</f>
        <v>82800</v>
      </c>
      <c r="G359" s="219"/>
      <c r="H359" s="951"/>
    </row>
    <row r="360" spans="1:9" ht="18" customHeight="1" x14ac:dyDescent="0.2">
      <c r="A360" s="936"/>
      <c r="B360" s="938" t="s">
        <v>667</v>
      </c>
      <c r="C360" s="934">
        <v>6900</v>
      </c>
      <c r="D360" s="284">
        <v>0.05</v>
      </c>
      <c r="E360" s="934">
        <v>12</v>
      </c>
      <c r="F360" s="288">
        <f>SUM(C360*E360)</f>
        <v>82800</v>
      </c>
      <c r="G360" s="219"/>
      <c r="H360" s="951">
        <f>SUM(F360*D360)</f>
        <v>4140</v>
      </c>
    </row>
    <row r="361" spans="1:9" ht="18" customHeight="1" x14ac:dyDescent="0.2">
      <c r="A361" s="89" t="s">
        <v>185</v>
      </c>
      <c r="B361" s="863" t="s">
        <v>186</v>
      </c>
      <c r="C361" s="311"/>
      <c r="D361" s="664">
        <v>0.27</v>
      </c>
      <c r="E361" s="311"/>
      <c r="F361" s="291">
        <f>SUM(F362)</f>
        <v>171600</v>
      </c>
      <c r="G361" s="219"/>
      <c r="H361" s="951"/>
    </row>
    <row r="362" spans="1:9" s="305" customFormat="1" ht="18" customHeight="1" x14ac:dyDescent="0.2">
      <c r="A362" s="393"/>
      <c r="B362" s="938" t="s">
        <v>668</v>
      </c>
      <c r="C362" s="934">
        <v>14300</v>
      </c>
      <c r="D362" s="284">
        <v>0.27</v>
      </c>
      <c r="E362" s="934">
        <v>12</v>
      </c>
      <c r="F362" s="288">
        <f>SUM(C362*E362)</f>
        <v>171600</v>
      </c>
      <c r="G362" s="285"/>
      <c r="H362" s="953">
        <f>SUM(F362*D362)</f>
        <v>46332</v>
      </c>
      <c r="I362" s="954"/>
    </row>
    <row r="363" spans="1:9" ht="18" customHeight="1" x14ac:dyDescent="0.2">
      <c r="A363" s="89" t="s">
        <v>199</v>
      </c>
      <c r="B363" s="863" t="s">
        <v>200</v>
      </c>
      <c r="C363" s="311"/>
      <c r="D363" s="664">
        <v>0.27</v>
      </c>
      <c r="E363" s="311"/>
      <c r="F363" s="291">
        <v>50000</v>
      </c>
      <c r="G363" s="219"/>
      <c r="H363" s="953">
        <f t="shared" ref="H363:H368" si="11">SUM(F363*D363)</f>
        <v>13500</v>
      </c>
    </row>
    <row r="364" spans="1:9" ht="16.5" customHeight="1" x14ac:dyDescent="0.2">
      <c r="A364" s="1153" t="s">
        <v>201</v>
      </c>
      <c r="B364" s="937" t="s">
        <v>202</v>
      </c>
      <c r="C364" s="311"/>
      <c r="D364" s="664"/>
      <c r="E364" s="311"/>
      <c r="F364" s="291">
        <f>SUM(F365:F366)</f>
        <v>110000</v>
      </c>
      <c r="G364" s="219"/>
      <c r="H364" s="953">
        <f t="shared" si="11"/>
        <v>0</v>
      </c>
    </row>
    <row r="365" spans="1:9" ht="16.5" customHeight="1" x14ac:dyDescent="0.2">
      <c r="A365" s="1153"/>
      <c r="B365" s="218" t="s">
        <v>670</v>
      </c>
      <c r="C365" s="218"/>
      <c r="D365" s="939" t="s">
        <v>588</v>
      </c>
      <c r="E365" s="218"/>
      <c r="F365" s="205">
        <v>100000</v>
      </c>
      <c r="G365" s="219"/>
      <c r="H365" s="953"/>
    </row>
    <row r="366" spans="1:9" ht="15" customHeight="1" x14ac:dyDescent="0.2">
      <c r="A366" s="1153"/>
      <c r="B366" s="90" t="s">
        <v>669</v>
      </c>
      <c r="C366" s="109"/>
      <c r="D366" s="214" t="s">
        <v>588</v>
      </c>
      <c r="E366" s="109"/>
      <c r="F366" s="205">
        <v>10000</v>
      </c>
      <c r="G366" s="219"/>
      <c r="H366" s="953"/>
    </row>
    <row r="367" spans="1:9" ht="17.25" customHeight="1" x14ac:dyDescent="0.2">
      <c r="A367" s="246" t="s">
        <v>205</v>
      </c>
      <c r="B367" s="937" t="s">
        <v>206</v>
      </c>
      <c r="C367" s="311"/>
      <c r="D367" s="664">
        <v>0.27</v>
      </c>
      <c r="E367" s="311"/>
      <c r="F367" s="291">
        <v>20000</v>
      </c>
      <c r="G367" s="219"/>
      <c r="H367" s="953">
        <f t="shared" si="11"/>
        <v>5400</v>
      </c>
    </row>
    <row r="368" spans="1:9" ht="18" customHeight="1" x14ac:dyDescent="0.2">
      <c r="A368" s="117" t="s">
        <v>294</v>
      </c>
      <c r="B368" s="863" t="s">
        <v>295</v>
      </c>
      <c r="C368" s="311"/>
      <c r="D368" s="664"/>
      <c r="E368" s="311"/>
      <c r="F368" s="291">
        <v>50000</v>
      </c>
      <c r="G368" s="219"/>
      <c r="H368" s="953">
        <f t="shared" si="11"/>
        <v>0</v>
      </c>
    </row>
    <row r="369" spans="1:8" ht="21.75" customHeight="1" x14ac:dyDescent="0.2">
      <c r="A369" s="207" t="s">
        <v>213</v>
      </c>
      <c r="B369" s="863" t="s">
        <v>273</v>
      </c>
      <c r="C369" s="311"/>
      <c r="D369" s="664"/>
      <c r="E369" s="311"/>
      <c r="F369" s="291">
        <v>115000</v>
      </c>
      <c r="G369" s="228"/>
      <c r="H369" s="952">
        <f>SUM(H355:H368)</f>
        <v>112372</v>
      </c>
    </row>
    <row r="370" spans="1:8" ht="19.5" customHeight="1" x14ac:dyDescent="0.2">
      <c r="A370" s="117" t="s">
        <v>247</v>
      </c>
      <c r="B370" s="412" t="s">
        <v>248</v>
      </c>
      <c r="C370" s="414"/>
      <c r="D370" s="284"/>
      <c r="E370" s="414"/>
      <c r="F370" s="288"/>
      <c r="G370" s="228"/>
      <c r="H370" s="950"/>
    </row>
    <row r="371" spans="1:8" ht="18" customHeight="1" x14ac:dyDescent="0.2">
      <c r="A371" s="246" t="s">
        <v>249</v>
      </c>
      <c r="B371" s="1110" t="s">
        <v>354</v>
      </c>
      <c r="C371" s="1110"/>
      <c r="D371" s="1110"/>
      <c r="E371" s="1110"/>
      <c r="F371" s="206"/>
      <c r="H371" s="875"/>
    </row>
    <row r="372" spans="1:8" ht="18" customHeight="1" x14ac:dyDescent="0.2">
      <c r="A372" s="246"/>
      <c r="B372" s="647"/>
      <c r="C372" s="647"/>
      <c r="D372" s="389"/>
      <c r="E372" s="647"/>
      <c r="F372" s="309"/>
      <c r="H372" s="875"/>
    </row>
    <row r="373" spans="1:8" ht="21.75" customHeight="1" x14ac:dyDescent="0.2">
      <c r="A373" s="246" t="s">
        <v>251</v>
      </c>
      <c r="B373" s="390" t="s">
        <v>278</v>
      </c>
      <c r="C373" s="590"/>
      <c r="D373" s="389">
        <v>0.27</v>
      </c>
      <c r="E373" s="590"/>
      <c r="F373" s="392"/>
      <c r="H373" s="875"/>
    </row>
    <row r="374" spans="1:8" ht="21.75" customHeight="1" x14ac:dyDescent="0.2">
      <c r="A374" s="498" t="s">
        <v>253</v>
      </c>
      <c r="B374" s="1160" t="s">
        <v>512</v>
      </c>
      <c r="C374" s="1160"/>
      <c r="D374" s="1160"/>
      <c r="E374" s="1160"/>
      <c r="F374" s="392">
        <v>0</v>
      </c>
      <c r="H374" s="875"/>
    </row>
    <row r="375" spans="1:8" ht="21.75" customHeight="1" thickBot="1" x14ac:dyDescent="0.25">
      <c r="A375" s="544" t="s">
        <v>257</v>
      </c>
      <c r="B375" s="610" t="s">
        <v>279</v>
      </c>
      <c r="C375" s="611"/>
      <c r="D375" s="612">
        <v>0.27</v>
      </c>
      <c r="E375" s="611"/>
      <c r="F375" s="613">
        <v>0</v>
      </c>
      <c r="H375" s="875"/>
    </row>
    <row r="376" spans="1:8" ht="21.75" customHeight="1" thickBot="1" x14ac:dyDescent="0.25">
      <c r="A376" s="1132" t="s">
        <v>281</v>
      </c>
      <c r="B376" s="1132"/>
      <c r="C376" s="1132"/>
      <c r="D376" s="1132"/>
      <c r="E376" s="1132"/>
      <c r="F376" s="227">
        <f>SUM(F350+F354+F355+F356+F359+F361+F363+F367+F368+F369+F364)</f>
        <v>11339400</v>
      </c>
      <c r="G376" s="219">
        <f>SUM(F376-'Kiadások COFOG szerint'!F215)</f>
        <v>0</v>
      </c>
      <c r="H376" s="875"/>
    </row>
    <row r="377" spans="1:8" ht="21.75" customHeight="1" thickBot="1" x14ac:dyDescent="0.25">
      <c r="A377" s="1158" t="s">
        <v>435</v>
      </c>
      <c r="B377" s="1158"/>
      <c r="C377" s="1158"/>
      <c r="D377" s="1158"/>
      <c r="E377" s="1158"/>
      <c r="F377" s="1158"/>
      <c r="H377" s="875"/>
    </row>
    <row r="378" spans="1:8" ht="21.75" customHeight="1" thickBot="1" x14ac:dyDescent="0.25">
      <c r="A378" s="1120" t="s">
        <v>46</v>
      </c>
      <c r="B378" s="1122" t="s">
        <v>47</v>
      </c>
      <c r="C378" s="1124">
        <v>2022</v>
      </c>
      <c r="D378" s="1124"/>
      <c r="E378" s="1124"/>
      <c r="F378" s="1124"/>
    </row>
    <row r="379" spans="1:8" ht="21.75" customHeight="1" thickBot="1" x14ac:dyDescent="0.25">
      <c r="A379" s="1120"/>
      <c r="B379" s="1122"/>
      <c r="C379" s="1159"/>
      <c r="D379" s="1159"/>
      <c r="E379" s="1159"/>
      <c r="F379" s="960" t="s">
        <v>520</v>
      </c>
    </row>
    <row r="380" spans="1:8" ht="21.75" customHeight="1" thickBot="1" x14ac:dyDescent="0.25">
      <c r="A380" s="961" t="s">
        <v>201</v>
      </c>
      <c r="B380" s="962" t="s">
        <v>202</v>
      </c>
      <c r="C380" s="963" t="s">
        <v>436</v>
      </c>
      <c r="D380" s="964">
        <v>8000</v>
      </c>
      <c r="E380" s="963">
        <v>12</v>
      </c>
      <c r="F380" s="965">
        <f>SUM(D380*E380)</f>
        <v>96000</v>
      </c>
    </row>
    <row r="381" spans="1:8" ht="21.75" customHeight="1" thickBot="1" x14ac:dyDescent="0.25">
      <c r="A381" s="1132" t="s">
        <v>281</v>
      </c>
      <c r="B381" s="1132"/>
      <c r="C381" s="1132"/>
      <c r="D381" s="1132"/>
      <c r="E381" s="1132"/>
      <c r="F381" s="227">
        <f>SUM(F380:F380)</f>
        <v>96000</v>
      </c>
      <c r="G381" s="219">
        <f>SUM(F381-'Kiadások COFOG szerint'!F220)</f>
        <v>0</v>
      </c>
    </row>
    <row r="382" spans="1:8" ht="23.25" customHeight="1" thickBot="1" x14ac:dyDescent="0.25">
      <c r="A382" s="1158" t="s">
        <v>438</v>
      </c>
      <c r="B382" s="1158"/>
      <c r="C382" s="1158"/>
      <c r="D382" s="1158"/>
      <c r="E382" s="1158"/>
      <c r="F382" s="1158"/>
    </row>
    <row r="383" spans="1:8" ht="18" customHeight="1" thickBot="1" x14ac:dyDescent="0.25">
      <c r="A383" s="1120" t="s">
        <v>46</v>
      </c>
      <c r="B383" s="1122" t="s">
        <v>47</v>
      </c>
      <c r="C383" s="1124">
        <v>2022</v>
      </c>
      <c r="D383" s="1124"/>
      <c r="E383" s="1124"/>
      <c r="F383" s="1124"/>
    </row>
    <row r="384" spans="1:8" ht="25.5" customHeight="1" thickBot="1" x14ac:dyDescent="0.25">
      <c r="A384" s="1120"/>
      <c r="B384" s="1122"/>
      <c r="C384" s="1125"/>
      <c r="D384" s="1125"/>
      <c r="E384" s="1125"/>
      <c r="F384" s="201" t="s">
        <v>520</v>
      </c>
    </row>
    <row r="385" spans="1:11" ht="21" x14ac:dyDescent="0.2">
      <c r="A385" s="877" t="s">
        <v>154</v>
      </c>
      <c r="B385" s="878" t="s">
        <v>155</v>
      </c>
      <c r="C385" s="879"/>
      <c r="D385" s="880"/>
      <c r="E385" s="879"/>
      <c r="F385" s="429"/>
    </row>
    <row r="386" spans="1:11" ht="15" customHeight="1" x14ac:dyDescent="0.2">
      <c r="A386" s="881" t="s">
        <v>154</v>
      </c>
      <c r="B386" s="860" t="s">
        <v>439</v>
      </c>
      <c r="C386" s="865">
        <f>SUM(F385)</f>
        <v>0</v>
      </c>
      <c r="D386" s="381">
        <v>0.13</v>
      </c>
      <c r="E386" s="865">
        <f>SUM(C386*D386)</f>
        <v>0</v>
      </c>
      <c r="F386" s="288"/>
    </row>
    <row r="387" spans="1:11" ht="15" customHeight="1" x14ac:dyDescent="0.2">
      <c r="A387" s="881" t="s">
        <v>170</v>
      </c>
      <c r="B387" s="860" t="s">
        <v>171</v>
      </c>
      <c r="C387" s="865"/>
      <c r="D387" s="284">
        <v>0.27</v>
      </c>
      <c r="E387" s="865"/>
      <c r="F387" s="288"/>
    </row>
    <row r="388" spans="1:11" ht="15" customHeight="1" x14ac:dyDescent="0.2">
      <c r="A388" s="881" t="s">
        <v>205</v>
      </c>
      <c r="B388" s="860" t="s">
        <v>414</v>
      </c>
      <c r="C388" s="865"/>
      <c r="D388" s="284">
        <v>0.27</v>
      </c>
      <c r="E388" s="865"/>
      <c r="F388" s="288"/>
    </row>
    <row r="389" spans="1:11" ht="24" customHeight="1" x14ac:dyDescent="0.2">
      <c r="A389" s="882" t="s">
        <v>213</v>
      </c>
      <c r="B389" s="860" t="s">
        <v>273</v>
      </c>
      <c r="C389" s="865">
        <f>F387+F388</f>
        <v>0</v>
      </c>
      <c r="D389" s="284">
        <v>0.27</v>
      </c>
      <c r="E389" s="379">
        <f>SUM(C389*D389)</f>
        <v>0</v>
      </c>
      <c r="F389" s="288"/>
      <c r="G389" s="219" t="s">
        <v>530</v>
      </c>
    </row>
    <row r="390" spans="1:11" ht="18" customHeight="1" x14ac:dyDescent="0.2">
      <c r="A390" s="882" t="s">
        <v>249</v>
      </c>
      <c r="B390" s="860" t="s">
        <v>491</v>
      </c>
      <c r="C390" s="865"/>
      <c r="D390" s="284">
        <v>0.27</v>
      </c>
      <c r="E390" s="379"/>
      <c r="F390" s="288"/>
      <c r="G390" s="219"/>
    </row>
    <row r="391" spans="1:11" ht="18" customHeight="1" x14ac:dyDescent="0.2">
      <c r="A391" s="457"/>
      <c r="B391" s="390" t="s">
        <v>641</v>
      </c>
      <c r="C391" s="866"/>
      <c r="D391" s="284">
        <v>0.27</v>
      </c>
      <c r="E391" s="754"/>
      <c r="F391" s="309"/>
      <c r="G391" s="219"/>
    </row>
    <row r="392" spans="1:11" ht="21.75" customHeight="1" thickBot="1" x14ac:dyDescent="0.25">
      <c r="A392" s="457" t="s">
        <v>251</v>
      </c>
      <c r="B392" s="390" t="s">
        <v>278</v>
      </c>
      <c r="C392" s="866">
        <f>F390</f>
        <v>0</v>
      </c>
      <c r="D392" s="284">
        <v>0.27</v>
      </c>
      <c r="E392" s="754">
        <f>C392*D392</f>
        <v>0</v>
      </c>
      <c r="F392" s="392"/>
      <c r="G392" s="219"/>
    </row>
    <row r="393" spans="1:11" ht="21.75" customHeight="1" thickBot="1" x14ac:dyDescent="0.25">
      <c r="A393" s="1132" t="s">
        <v>281</v>
      </c>
      <c r="B393" s="1132"/>
      <c r="C393" s="1132"/>
      <c r="D393" s="1132"/>
      <c r="E393" s="1132"/>
      <c r="F393" s="227">
        <f>SUM(F385,F386,F387,F388,F389,F390,F392)</f>
        <v>0</v>
      </c>
      <c r="G393" s="219">
        <f>SUM(F393-'Kiadások COFOG szerint'!F238)</f>
        <v>0</v>
      </c>
    </row>
    <row r="394" spans="1:11" ht="24" customHeight="1" thickBot="1" x14ac:dyDescent="0.25">
      <c r="A394" s="1119" t="s">
        <v>297</v>
      </c>
      <c r="B394" s="1119"/>
      <c r="C394" s="1119"/>
      <c r="D394" s="1119"/>
      <c r="E394" s="1119"/>
      <c r="F394" s="1119"/>
    </row>
    <row r="395" spans="1:11" ht="21" customHeight="1" thickBot="1" x14ac:dyDescent="0.25">
      <c r="A395" s="1137" t="s">
        <v>46</v>
      </c>
      <c r="B395" s="1138" t="s">
        <v>47</v>
      </c>
      <c r="C395" s="1124">
        <v>2022</v>
      </c>
      <c r="D395" s="1124"/>
      <c r="E395" s="1124"/>
      <c r="F395" s="1124"/>
    </row>
    <row r="396" spans="1:11" ht="24" customHeight="1" thickBot="1" x14ac:dyDescent="0.25">
      <c r="A396" s="1137"/>
      <c r="B396" s="1138"/>
      <c r="C396" s="1125"/>
      <c r="D396" s="1125"/>
      <c r="E396" s="1125"/>
      <c r="F396" s="201" t="s">
        <v>520</v>
      </c>
    </row>
    <row r="397" spans="1:11" ht="22.5" customHeight="1" thickBot="1" x14ac:dyDescent="0.25">
      <c r="A397" s="1161" t="s">
        <v>241</v>
      </c>
      <c r="B397" s="338" t="s">
        <v>298</v>
      </c>
      <c r="C397" s="1167" t="s">
        <v>441</v>
      </c>
      <c r="D397" s="1167"/>
      <c r="E397" s="1167"/>
      <c r="F397" s="229">
        <v>50000</v>
      </c>
      <c r="G397" s="219"/>
      <c r="J397" s="179"/>
    </row>
    <row r="398" spans="1:11" ht="22.5" customHeight="1" thickBot="1" x14ac:dyDescent="0.25">
      <c r="A398" s="1161"/>
      <c r="B398" s="1168"/>
      <c r="C398" s="1157" t="s">
        <v>480</v>
      </c>
      <c r="D398" s="1157"/>
      <c r="E398" s="1157"/>
      <c r="F398" s="197">
        <v>200000</v>
      </c>
      <c r="G398" s="219"/>
      <c r="J398" s="179"/>
    </row>
    <row r="399" spans="1:11" ht="22.5" customHeight="1" thickBot="1" x14ac:dyDescent="0.25">
      <c r="A399" s="1161"/>
      <c r="B399" s="1169"/>
      <c r="C399" s="1157" t="s">
        <v>442</v>
      </c>
      <c r="D399" s="1157"/>
      <c r="E399" s="1157"/>
      <c r="F399" s="197">
        <v>50000</v>
      </c>
      <c r="G399" s="219"/>
      <c r="I399" s="700"/>
      <c r="J399" s="126"/>
      <c r="K399" s="220"/>
    </row>
    <row r="400" spans="1:11" ht="22.5" customHeight="1" thickBot="1" x14ac:dyDescent="0.25">
      <c r="A400" s="1161"/>
      <c r="B400" s="1169"/>
      <c r="C400" s="1157" t="s">
        <v>443</v>
      </c>
      <c r="D400" s="1157"/>
      <c r="E400" s="1157"/>
      <c r="F400" s="197">
        <v>2800000</v>
      </c>
      <c r="G400" s="219"/>
      <c r="I400" s="700"/>
      <c r="J400" s="126"/>
      <c r="K400" s="220"/>
    </row>
    <row r="401" spans="1:11" ht="22.5" customHeight="1" thickBot="1" x14ac:dyDescent="0.25">
      <c r="A401" s="1161"/>
      <c r="B401" s="1169"/>
      <c r="C401" s="1172" t="s">
        <v>556</v>
      </c>
      <c r="D401" s="1173"/>
      <c r="E401" s="1174"/>
      <c r="F401" s="197">
        <v>150000</v>
      </c>
      <c r="G401" s="219"/>
      <c r="I401" s="700"/>
      <c r="J401" s="126"/>
      <c r="K401" s="220"/>
    </row>
    <row r="402" spans="1:11" ht="22.5" customHeight="1" thickBot="1" x14ac:dyDescent="0.25">
      <c r="A402" s="1161"/>
      <c r="B402" s="1169"/>
      <c r="C402" s="1157" t="s">
        <v>444</v>
      </c>
      <c r="D402" s="1157"/>
      <c r="E402" s="1157"/>
      <c r="F402" s="197">
        <v>50000</v>
      </c>
      <c r="G402" s="219"/>
      <c r="I402" s="700"/>
      <c r="J402" s="126"/>
      <c r="K402" s="220"/>
    </row>
    <row r="403" spans="1:11" ht="22.5" customHeight="1" thickBot="1" x14ac:dyDescent="0.25">
      <c r="A403" s="1161"/>
      <c r="B403" s="1169"/>
      <c r="C403" s="1157" t="s">
        <v>445</v>
      </c>
      <c r="D403" s="1157"/>
      <c r="E403" s="1157"/>
      <c r="F403" s="197">
        <v>200000</v>
      </c>
      <c r="G403" s="219"/>
      <c r="I403" s="700"/>
      <c r="J403" s="126"/>
      <c r="K403" s="220"/>
    </row>
    <row r="404" spans="1:11" ht="22.5" customHeight="1" thickBot="1" x14ac:dyDescent="0.25">
      <c r="A404" s="1161"/>
      <c r="B404" s="1169"/>
      <c r="C404" s="1157" t="s">
        <v>446</v>
      </c>
      <c r="D404" s="1157"/>
      <c r="E404" s="1157"/>
      <c r="F404" s="197">
        <v>200000</v>
      </c>
      <c r="G404" s="219"/>
      <c r="I404" s="700"/>
      <c r="J404" s="126"/>
      <c r="K404" s="220"/>
    </row>
    <row r="405" spans="1:11" ht="22.5" customHeight="1" thickBot="1" x14ac:dyDescent="0.25">
      <c r="A405" s="1161"/>
      <c r="B405" s="1169"/>
      <c r="C405" s="1157" t="s">
        <v>447</v>
      </c>
      <c r="D405" s="1157"/>
      <c r="E405" s="1157"/>
      <c r="F405" s="197">
        <v>200000</v>
      </c>
      <c r="G405" s="219"/>
      <c r="I405" s="700"/>
      <c r="J405" s="126"/>
      <c r="K405" s="220"/>
    </row>
    <row r="406" spans="1:11" ht="22.5" customHeight="1" thickBot="1" x14ac:dyDescent="0.25">
      <c r="A406" s="1161"/>
      <c r="B406" s="1169"/>
      <c r="C406" s="1157" t="s">
        <v>448</v>
      </c>
      <c r="D406" s="1157"/>
      <c r="E406" s="1157"/>
      <c r="F406" s="197">
        <v>200000</v>
      </c>
      <c r="G406" s="219"/>
      <c r="I406" s="700"/>
      <c r="J406" s="126"/>
      <c r="K406" s="220"/>
    </row>
    <row r="407" spans="1:11" ht="22.5" customHeight="1" thickBot="1" x14ac:dyDescent="0.25">
      <c r="A407" s="1161"/>
      <c r="B407" s="1169"/>
      <c r="C407" s="1157" t="s">
        <v>557</v>
      </c>
      <c r="D407" s="1157"/>
      <c r="E407" s="1157"/>
      <c r="F407" s="197">
        <v>200000</v>
      </c>
      <c r="G407" s="219"/>
      <c r="I407" s="700"/>
      <c r="J407" s="126"/>
      <c r="K407" s="220"/>
    </row>
    <row r="408" spans="1:11" ht="22.5" customHeight="1" thickBot="1" x14ac:dyDescent="0.25">
      <c r="A408" s="1161"/>
      <c r="B408" s="1169"/>
      <c r="C408" s="1163" t="s">
        <v>455</v>
      </c>
      <c r="D408" s="1163"/>
      <c r="E408" s="1163"/>
      <c r="F408" s="752">
        <v>460000</v>
      </c>
      <c r="G408" s="219"/>
      <c r="I408" s="700"/>
      <c r="J408" s="126"/>
      <c r="K408" s="220"/>
    </row>
    <row r="409" spans="1:11" ht="22.5" customHeight="1" thickBot="1" x14ac:dyDescent="0.25">
      <c r="A409" s="1161"/>
      <c r="B409" s="1169"/>
      <c r="C409" s="1157" t="s">
        <v>449</v>
      </c>
      <c r="D409" s="1157"/>
      <c r="E409" s="1157"/>
      <c r="F409" s="197">
        <v>50000</v>
      </c>
      <c r="G409" s="219"/>
      <c r="I409" s="700"/>
      <c r="J409" s="126"/>
      <c r="K409" s="220"/>
    </row>
    <row r="410" spans="1:11" ht="22.5" customHeight="1" thickBot="1" x14ac:dyDescent="0.25">
      <c r="A410" s="1161"/>
      <c r="B410" s="1169"/>
      <c r="C410" s="1157" t="s">
        <v>450</v>
      </c>
      <c r="D410" s="1157"/>
      <c r="E410" s="1157"/>
      <c r="F410" s="197">
        <v>0</v>
      </c>
      <c r="G410" s="219"/>
      <c r="I410" s="700"/>
      <c r="J410" s="126"/>
      <c r="K410" s="220"/>
    </row>
    <row r="411" spans="1:11" ht="21" customHeight="1" thickBot="1" x14ac:dyDescent="0.25">
      <c r="A411" s="1161"/>
      <c r="B411" s="1169"/>
      <c r="C411" s="1170" t="s">
        <v>451</v>
      </c>
      <c r="D411" s="1170"/>
      <c r="E411" s="1170"/>
      <c r="F411" s="197">
        <v>0</v>
      </c>
      <c r="G411" s="219"/>
      <c r="I411" s="700"/>
      <c r="J411" s="126"/>
      <c r="K411" s="220"/>
    </row>
    <row r="412" spans="1:11" ht="21.75" customHeight="1" thickBot="1" x14ac:dyDescent="0.25">
      <c r="A412" s="1161"/>
      <c r="B412" s="1169"/>
      <c r="C412" s="1170" t="s">
        <v>452</v>
      </c>
      <c r="D412" s="1170"/>
      <c r="E412" s="1170"/>
      <c r="F412" s="197">
        <v>50000</v>
      </c>
      <c r="G412" s="219"/>
      <c r="I412" s="700"/>
      <c r="J412" s="126"/>
      <c r="K412" s="220"/>
    </row>
    <row r="413" spans="1:11" ht="21.75" customHeight="1" thickBot="1" x14ac:dyDescent="0.25">
      <c r="A413" s="1161"/>
      <c r="B413" s="1169"/>
      <c r="C413" s="1170" t="s">
        <v>456</v>
      </c>
      <c r="D413" s="1170"/>
      <c r="E413" s="1170"/>
      <c r="F413" s="197">
        <v>70000</v>
      </c>
      <c r="G413" s="285"/>
      <c r="J413" s="475"/>
    </row>
    <row r="414" spans="1:11" ht="21.75" customHeight="1" thickBot="1" x14ac:dyDescent="0.25">
      <c r="A414" s="1161"/>
      <c r="B414" s="1169"/>
      <c r="C414" s="1170" t="s">
        <v>453</v>
      </c>
      <c r="D414" s="1170"/>
      <c r="E414" s="1170"/>
      <c r="F414" s="197">
        <v>300000</v>
      </c>
      <c r="G414" s="285"/>
      <c r="J414" s="179"/>
    </row>
    <row r="415" spans="1:11" ht="21.75" customHeight="1" thickBot="1" x14ac:dyDescent="0.25">
      <c r="A415" s="1162"/>
      <c r="B415" s="1169"/>
      <c r="C415" s="1171" t="s">
        <v>454</v>
      </c>
      <c r="D415" s="1171"/>
      <c r="E415" s="1171"/>
      <c r="F415" s="197">
        <v>100000</v>
      </c>
      <c r="G415" s="285"/>
      <c r="J415" s="179"/>
    </row>
    <row r="416" spans="1:11" ht="24" customHeight="1" thickBot="1" x14ac:dyDescent="0.25">
      <c r="A416" s="1132" t="s">
        <v>281</v>
      </c>
      <c r="B416" s="1132"/>
      <c r="C416" s="1132"/>
      <c r="D416" s="1132"/>
      <c r="E416" s="1183"/>
      <c r="F416" s="227">
        <f>SUM(F397:F415)</f>
        <v>5330000</v>
      </c>
      <c r="G416" s="219">
        <f>SUM(F416-'Kiadások COFOG szerint'!F243)</f>
        <v>0</v>
      </c>
    </row>
    <row r="417" spans="1:16" ht="24.75" customHeight="1" thickBot="1" x14ac:dyDescent="0.25">
      <c r="A417" s="1119" t="s">
        <v>137</v>
      </c>
      <c r="B417" s="1119"/>
      <c r="C417" s="1119"/>
      <c r="D417" s="1119"/>
      <c r="E417" s="1119"/>
      <c r="F417" s="1119"/>
    </row>
    <row r="418" spans="1:16" ht="21.75" customHeight="1" thickBot="1" x14ac:dyDescent="0.25">
      <c r="A418" s="1120" t="s">
        <v>46</v>
      </c>
      <c r="B418" s="1122" t="s">
        <v>47</v>
      </c>
      <c r="C418" s="1124">
        <v>2022</v>
      </c>
      <c r="D418" s="1124"/>
      <c r="E418" s="1124"/>
      <c r="F418" s="1124"/>
      <c r="M418" s="184"/>
      <c r="N418" s="184"/>
      <c r="O418" s="184"/>
      <c r="P418" s="184"/>
    </row>
    <row r="419" spans="1:16" ht="24.75" customHeight="1" thickBot="1" x14ac:dyDescent="0.25">
      <c r="A419" s="1120"/>
      <c r="B419" s="1122"/>
      <c r="C419" s="1125"/>
      <c r="D419" s="1125"/>
      <c r="E419" s="1125"/>
      <c r="F419" s="201" t="s">
        <v>520</v>
      </c>
      <c r="M419" s="185"/>
      <c r="N419" s="185"/>
      <c r="O419" s="186"/>
      <c r="P419" s="49"/>
    </row>
    <row r="420" spans="1:16" ht="12.75" customHeight="1" x14ac:dyDescent="0.2">
      <c r="A420" s="230" t="s">
        <v>142</v>
      </c>
      <c r="B420" s="1177" t="s">
        <v>143</v>
      </c>
      <c r="C420" s="1177"/>
      <c r="D420" s="1177"/>
      <c r="E420" s="1177"/>
      <c r="F420" s="1177"/>
      <c r="M420" s="185"/>
      <c r="N420" s="185"/>
      <c r="O420" s="187"/>
      <c r="P420" s="49"/>
    </row>
    <row r="421" spans="1:16" ht="21.75" customHeight="1" x14ac:dyDescent="0.2">
      <c r="A421" s="207"/>
      <c r="B421" s="211" t="s">
        <v>571</v>
      </c>
      <c r="C421" s="932">
        <v>236159</v>
      </c>
      <c r="D421" s="204">
        <v>1</v>
      </c>
      <c r="E421" s="204" t="s">
        <v>311</v>
      </c>
      <c r="F421" s="205">
        <f>SUM(C421*D421)</f>
        <v>236159</v>
      </c>
      <c r="J421" s="114"/>
      <c r="M421" s="185"/>
      <c r="N421" s="185"/>
      <c r="O421" s="187"/>
      <c r="P421" s="49"/>
    </row>
    <row r="422" spans="1:16" ht="21" customHeight="1" x14ac:dyDescent="0.2">
      <c r="A422" s="207"/>
      <c r="B422" s="90" t="s">
        <v>572</v>
      </c>
      <c r="C422" s="109">
        <v>277159</v>
      </c>
      <c r="D422" s="204">
        <v>11</v>
      </c>
      <c r="E422" s="204" t="s">
        <v>311</v>
      </c>
      <c r="F422" s="205">
        <f t="shared" ref="F422:F433" si="12">SUM(C422*D422)</f>
        <v>3048749</v>
      </c>
      <c r="G422" s="577"/>
      <c r="M422" s="185"/>
      <c r="N422" s="185"/>
      <c r="O422" s="187"/>
      <c r="P422" s="49"/>
    </row>
    <row r="423" spans="1:16" ht="21" customHeight="1" x14ac:dyDescent="0.2">
      <c r="A423" s="372"/>
      <c r="B423" s="1019" t="s">
        <v>629</v>
      </c>
      <c r="C423" s="1020">
        <v>219000</v>
      </c>
      <c r="D423" s="1021">
        <v>1</v>
      </c>
      <c r="E423" s="408" t="s">
        <v>311</v>
      </c>
      <c r="F423" s="205">
        <f t="shared" si="12"/>
        <v>219000</v>
      </c>
      <c r="G423" s="876">
        <f>SUM(F421:F424)</f>
        <v>6033908</v>
      </c>
      <c r="M423" s="185"/>
      <c r="N423" s="185"/>
      <c r="O423" s="187"/>
      <c r="P423" s="49"/>
    </row>
    <row r="424" spans="1:16" ht="21" customHeight="1" x14ac:dyDescent="0.2">
      <c r="A424" s="1017"/>
      <c r="B424" s="1019" t="s">
        <v>629</v>
      </c>
      <c r="C424" s="1020">
        <v>230000</v>
      </c>
      <c r="D424" s="1021">
        <v>11</v>
      </c>
      <c r="E424" s="408" t="s">
        <v>311</v>
      </c>
      <c r="F424" s="205">
        <f t="shared" si="12"/>
        <v>2530000</v>
      </c>
      <c r="G424" s="876"/>
      <c r="M424" s="185"/>
      <c r="N424" s="185"/>
      <c r="O424" s="187"/>
      <c r="P424" s="49"/>
    </row>
    <row r="425" spans="1:16" ht="18" customHeight="1" x14ac:dyDescent="0.2">
      <c r="A425" s="153"/>
      <c r="B425" s="1110" t="s">
        <v>353</v>
      </c>
      <c r="C425" s="1110"/>
      <c r="D425" s="1110"/>
      <c r="E425" s="1110"/>
      <c r="F425" s="744">
        <v>6050000</v>
      </c>
      <c r="M425" s="185"/>
      <c r="N425" s="185"/>
      <c r="O425" s="187"/>
      <c r="P425" s="49"/>
    </row>
    <row r="426" spans="1:16" ht="15.75" customHeight="1" x14ac:dyDescent="0.2">
      <c r="A426" s="413" t="s">
        <v>430</v>
      </c>
      <c r="B426" s="412" t="s">
        <v>431</v>
      </c>
      <c r="C426" s="414"/>
      <c r="D426" s="379"/>
      <c r="E426" s="379" t="s">
        <v>311</v>
      </c>
      <c r="F426" s="205">
        <v>100000</v>
      </c>
      <c r="M426" s="185"/>
      <c r="N426" s="185"/>
      <c r="O426" s="187"/>
      <c r="P426" s="49"/>
    </row>
    <row r="427" spans="1:16" ht="24.75" customHeight="1" x14ac:dyDescent="0.2">
      <c r="A427" s="411" t="s">
        <v>148</v>
      </c>
      <c r="B427" s="424" t="s">
        <v>346</v>
      </c>
      <c r="C427" s="425">
        <v>1000</v>
      </c>
      <c r="D427" s="426">
        <v>12</v>
      </c>
      <c r="E427" s="426" t="s">
        <v>311</v>
      </c>
      <c r="F427" s="205">
        <f t="shared" si="12"/>
        <v>12000</v>
      </c>
      <c r="G427" s="400" t="s">
        <v>529</v>
      </c>
      <c r="H427" s="682"/>
      <c r="I427" s="701"/>
      <c r="J427" s="584"/>
      <c r="K427" s="585">
        <v>14791317</v>
      </c>
      <c r="P427" s="49"/>
    </row>
    <row r="428" spans="1:16" x14ac:dyDescent="0.2">
      <c r="A428" s="849" t="s">
        <v>150</v>
      </c>
      <c r="B428" s="855" t="s">
        <v>151</v>
      </c>
      <c r="C428" s="425"/>
      <c r="D428" s="426"/>
      <c r="E428" s="426"/>
      <c r="F428" s="205">
        <f t="shared" si="12"/>
        <v>0</v>
      </c>
      <c r="G428" s="400"/>
      <c r="H428" s="682"/>
      <c r="I428" s="701"/>
      <c r="J428" s="584"/>
      <c r="K428" s="585"/>
      <c r="P428" s="49"/>
    </row>
    <row r="429" spans="1:16" ht="21" customHeight="1" x14ac:dyDescent="0.2">
      <c r="A429" s="1102" t="s">
        <v>154</v>
      </c>
      <c r="B429" s="1164" t="s">
        <v>155</v>
      </c>
      <c r="C429" s="1023"/>
      <c r="D429" s="1024"/>
      <c r="E429" s="1024"/>
      <c r="F429" s="744">
        <f>SUM(F430:F431)</f>
        <v>335000</v>
      </c>
      <c r="G429" s="400"/>
      <c r="H429" s="682"/>
      <c r="I429" s="701"/>
      <c r="J429" s="584"/>
      <c r="K429" s="585"/>
      <c r="P429" s="49"/>
    </row>
    <row r="430" spans="1:16" x14ac:dyDescent="0.2">
      <c r="A430" s="1103"/>
      <c r="B430" s="1165"/>
      <c r="C430" s="1022">
        <v>60000</v>
      </c>
      <c r="D430" s="426">
        <v>1</v>
      </c>
      <c r="E430" s="426"/>
      <c r="F430" s="205">
        <f>SUM(C430*D430)</f>
        <v>60000</v>
      </c>
      <c r="G430" s="400"/>
      <c r="H430" s="682"/>
      <c r="I430" s="701"/>
      <c r="J430" s="584"/>
      <c r="K430" s="585"/>
      <c r="P430" s="49"/>
    </row>
    <row r="431" spans="1:16" x14ac:dyDescent="0.2">
      <c r="A431" s="1103"/>
      <c r="B431" s="1166"/>
      <c r="C431" s="1022">
        <v>25000</v>
      </c>
      <c r="D431" s="426">
        <v>11</v>
      </c>
      <c r="E431" s="426"/>
      <c r="F431" s="205">
        <f>SUM(C431*D431)</f>
        <v>275000</v>
      </c>
      <c r="G431" s="400"/>
      <c r="H431" s="682"/>
      <c r="I431" s="701"/>
      <c r="J431" s="584"/>
      <c r="K431" s="585"/>
      <c r="P431" s="49"/>
    </row>
    <row r="432" spans="1:16" ht="17.100000000000001" customHeight="1" x14ac:dyDescent="0.2">
      <c r="A432" s="409" t="s">
        <v>351</v>
      </c>
      <c r="B432" s="856" t="s">
        <v>159</v>
      </c>
      <c r="C432" s="850">
        <f>SUM(F425,F426,F427,F428,F429)</f>
        <v>6497000</v>
      </c>
      <c r="D432" s="209">
        <v>0.13</v>
      </c>
      <c r="E432" s="109">
        <f>C432*D432</f>
        <v>844610</v>
      </c>
      <c r="F432" s="205">
        <v>860000</v>
      </c>
      <c r="M432" s="185"/>
      <c r="N432" s="185"/>
      <c r="O432" s="187"/>
      <c r="P432" s="49"/>
    </row>
    <row r="433" spans="1:16" ht="17.100000000000001" customHeight="1" x14ac:dyDescent="0.2">
      <c r="A433" s="409"/>
      <c r="B433" s="856" t="s">
        <v>656</v>
      </c>
      <c r="C433" s="948">
        <f>SUM(F426)</f>
        <v>100000</v>
      </c>
      <c r="D433" s="949">
        <v>0.15</v>
      </c>
      <c r="E433" s="932">
        <f>C433*D433</f>
        <v>15000</v>
      </c>
      <c r="F433" s="205">
        <f t="shared" si="12"/>
        <v>15000</v>
      </c>
      <c r="G433" s="219">
        <f>SUM(F432:F433)</f>
        <v>875000</v>
      </c>
      <c r="M433" s="185"/>
      <c r="N433" s="185"/>
      <c r="O433" s="187"/>
      <c r="P433" s="49"/>
    </row>
    <row r="434" spans="1:16" ht="17.100000000000001" customHeight="1" x14ac:dyDescent="0.2">
      <c r="A434" s="413"/>
      <c r="B434" s="1110" t="s">
        <v>318</v>
      </c>
      <c r="C434" s="1110"/>
      <c r="D434" s="1110"/>
      <c r="E434" s="1110"/>
      <c r="F434" s="206">
        <v>880000</v>
      </c>
      <c r="H434" s="690"/>
      <c r="J434" s="114"/>
      <c r="M434" s="185"/>
      <c r="N434" s="185"/>
      <c r="O434" s="187"/>
      <c r="P434" s="49"/>
    </row>
    <row r="435" spans="1:16" ht="17.100000000000001" customHeight="1" x14ac:dyDescent="0.2">
      <c r="A435" s="413" t="s">
        <v>170</v>
      </c>
      <c r="B435" s="1111" t="s">
        <v>171</v>
      </c>
      <c r="C435" s="1111"/>
      <c r="D435" s="1111"/>
      <c r="E435" s="1111"/>
      <c r="F435" s="1111"/>
      <c r="I435" s="80"/>
      <c r="M435" s="188"/>
      <c r="N435" s="184"/>
      <c r="O435" s="189"/>
      <c r="P435" s="49"/>
    </row>
    <row r="436" spans="1:16" ht="17.100000000000001" customHeight="1" x14ac:dyDescent="0.2">
      <c r="A436" s="413"/>
      <c r="B436" s="90" t="s">
        <v>379</v>
      </c>
      <c r="C436" s="115"/>
      <c r="D436" s="296">
        <v>0.27</v>
      </c>
      <c r="E436" s="115"/>
      <c r="F436" s="244">
        <v>600000</v>
      </c>
      <c r="I436" s="80">
        <f>SUM(F436*D436)</f>
        <v>162000</v>
      </c>
      <c r="M436" s="188"/>
      <c r="N436" s="184"/>
      <c r="O436" s="189"/>
      <c r="P436" s="49"/>
    </row>
    <row r="437" spans="1:16" ht="17.100000000000001" customHeight="1" x14ac:dyDescent="0.2">
      <c r="A437" s="652"/>
      <c r="B437" s="651" t="s">
        <v>578</v>
      </c>
      <c r="C437" s="115">
        <v>30000</v>
      </c>
      <c r="D437" s="296">
        <v>0.27</v>
      </c>
      <c r="E437" s="115">
        <v>2</v>
      </c>
      <c r="F437" s="244">
        <f>SUM(C437*E437)</f>
        <v>60000</v>
      </c>
      <c r="I437" s="80">
        <f>SUM(F437*D437)</f>
        <v>16200.000000000002</v>
      </c>
      <c r="M437" s="188"/>
      <c r="N437" s="184"/>
      <c r="O437" s="189"/>
      <c r="P437" s="49"/>
    </row>
    <row r="438" spans="1:16" ht="17.100000000000001" customHeight="1" x14ac:dyDescent="0.2">
      <c r="A438" s="940"/>
      <c r="B438" s="941" t="s">
        <v>657</v>
      </c>
      <c r="C438" s="115"/>
      <c r="D438" s="296">
        <v>0.27</v>
      </c>
      <c r="E438" s="115"/>
      <c r="F438" s="244">
        <v>150000</v>
      </c>
      <c r="I438" s="80">
        <f>SUM(F438*D438)</f>
        <v>40500</v>
      </c>
      <c r="M438" s="188"/>
      <c r="N438" s="184"/>
      <c r="O438" s="189"/>
      <c r="P438" s="49"/>
    </row>
    <row r="439" spans="1:16" ht="17.100000000000001" customHeight="1" x14ac:dyDescent="0.2">
      <c r="A439" s="717"/>
      <c r="B439" s="719" t="s">
        <v>625</v>
      </c>
      <c r="C439" s="115"/>
      <c r="D439" s="296">
        <v>0.27</v>
      </c>
      <c r="E439" s="115"/>
      <c r="F439" s="244">
        <v>150000</v>
      </c>
      <c r="I439" s="80">
        <f>SUM(F439*D439)</f>
        <v>40500</v>
      </c>
      <c r="M439" s="188"/>
      <c r="N439" s="184"/>
      <c r="O439" s="189"/>
      <c r="P439" s="49"/>
    </row>
    <row r="440" spans="1:16" ht="17.100000000000001" customHeight="1" x14ac:dyDescent="0.2">
      <c r="A440" s="413"/>
      <c r="B440" s="1101" t="s">
        <v>322</v>
      </c>
      <c r="C440" s="1101"/>
      <c r="D440" s="1101"/>
      <c r="E440" s="1101"/>
      <c r="F440" s="206">
        <f>SUM(F436:F439)</f>
        <v>960000</v>
      </c>
      <c r="I440" s="80"/>
      <c r="M440" s="188"/>
      <c r="N440" s="184"/>
      <c r="O440" s="189"/>
      <c r="P440" s="49"/>
    </row>
    <row r="441" spans="1:16" ht="17.100000000000001" customHeight="1" x14ac:dyDescent="0.2">
      <c r="A441" s="411" t="s">
        <v>195</v>
      </c>
      <c r="B441" s="412" t="s">
        <v>196</v>
      </c>
      <c r="C441" s="414"/>
      <c r="D441" s="284">
        <v>0.27</v>
      </c>
      <c r="E441" s="414"/>
      <c r="F441" s="288">
        <v>10000000</v>
      </c>
      <c r="G441" s="247"/>
      <c r="I441" s="80">
        <f t="shared" ref="I441:I448" si="13">SUM(F441*D441)</f>
        <v>2700000</v>
      </c>
    </row>
    <row r="442" spans="1:16" ht="17.100000000000001" customHeight="1" x14ac:dyDescent="0.2">
      <c r="A442" s="648" t="s">
        <v>199</v>
      </c>
      <c r="B442" s="1101" t="s">
        <v>200</v>
      </c>
      <c r="C442" s="1101"/>
      <c r="D442" s="1101"/>
      <c r="E442" s="1101"/>
      <c r="F442" s="206">
        <f>SUM(F443:F445)</f>
        <v>370000</v>
      </c>
      <c r="G442" s="247"/>
      <c r="I442" s="80"/>
    </row>
    <row r="443" spans="1:16" ht="17.100000000000001" customHeight="1" x14ac:dyDescent="0.2">
      <c r="A443" s="936"/>
      <c r="B443" s="938" t="s">
        <v>659</v>
      </c>
      <c r="C443" s="934"/>
      <c r="D443" s="284">
        <v>0.27</v>
      </c>
      <c r="E443" s="934"/>
      <c r="F443" s="288">
        <v>100000</v>
      </c>
      <c r="G443" s="247"/>
      <c r="I443" s="80">
        <f t="shared" si="13"/>
        <v>27000</v>
      </c>
    </row>
    <row r="444" spans="1:16" ht="17.100000000000001" customHeight="1" x14ac:dyDescent="0.2">
      <c r="A444" s="936"/>
      <c r="B444" s="938" t="s">
        <v>658</v>
      </c>
      <c r="C444" s="934"/>
      <c r="D444" s="284" t="s">
        <v>588</v>
      </c>
      <c r="E444" s="934"/>
      <c r="F444" s="288">
        <v>70000</v>
      </c>
      <c r="G444" s="247"/>
      <c r="I444" s="80"/>
    </row>
    <row r="445" spans="1:16" ht="17.100000000000001" customHeight="1" x14ac:dyDescent="0.2">
      <c r="A445" s="720"/>
      <c r="B445" s="716" t="s">
        <v>626</v>
      </c>
      <c r="C445" s="723"/>
      <c r="D445" s="284">
        <v>0.27</v>
      </c>
      <c r="E445" s="723"/>
      <c r="F445" s="288">
        <v>200000</v>
      </c>
      <c r="G445" s="247"/>
      <c r="I445" s="80">
        <f t="shared" si="13"/>
        <v>54000</v>
      </c>
    </row>
    <row r="446" spans="1:16" ht="17.100000000000001" customHeight="1" x14ac:dyDescent="0.2">
      <c r="A446" s="482" t="s">
        <v>201</v>
      </c>
      <c r="B446" s="1101" t="s">
        <v>202</v>
      </c>
      <c r="C446" s="1101"/>
      <c r="D446" s="1101">
        <v>0.27</v>
      </c>
      <c r="E446" s="1101"/>
      <c r="F446" s="206">
        <f>SUM(F447)</f>
        <v>20000</v>
      </c>
      <c r="G446" s="247"/>
      <c r="I446" s="80">
        <f t="shared" si="13"/>
        <v>5400</v>
      </c>
    </row>
    <row r="447" spans="1:16" ht="17.100000000000001" customHeight="1" x14ac:dyDescent="0.2">
      <c r="A447" s="936"/>
      <c r="B447" s="938" t="s">
        <v>660</v>
      </c>
      <c r="C447" s="934"/>
      <c r="D447" s="284" t="s">
        <v>588</v>
      </c>
      <c r="E447" s="934"/>
      <c r="F447" s="288">
        <v>20000</v>
      </c>
      <c r="G447" s="247"/>
      <c r="I447" s="80"/>
    </row>
    <row r="448" spans="1:16" ht="18" customHeight="1" x14ac:dyDescent="0.2">
      <c r="A448" s="411" t="s">
        <v>205</v>
      </c>
      <c r="B448" s="937" t="s">
        <v>206</v>
      </c>
      <c r="C448" s="311"/>
      <c r="D448" s="664">
        <v>0.27</v>
      </c>
      <c r="E448" s="311"/>
      <c r="F448" s="206">
        <v>90000</v>
      </c>
      <c r="I448" s="80">
        <f t="shared" si="13"/>
        <v>24300</v>
      </c>
    </row>
    <row r="449" spans="1:12" ht="20.25" customHeight="1" x14ac:dyDescent="0.2">
      <c r="A449" s="89" t="s">
        <v>213</v>
      </c>
      <c r="B449" s="1101" t="s">
        <v>273</v>
      </c>
      <c r="C449" s="1101"/>
      <c r="D449" s="1101"/>
      <c r="E449" s="1101">
        <f>C449*D449</f>
        <v>0</v>
      </c>
      <c r="F449" s="206">
        <v>3070000</v>
      </c>
      <c r="G449" s="228"/>
      <c r="H449" s="690"/>
      <c r="I449" s="80">
        <f>SUM(I434:I448)</f>
        <v>3069900</v>
      </c>
      <c r="J449" s="114"/>
    </row>
    <row r="450" spans="1:12" ht="19.5" customHeight="1" x14ac:dyDescent="0.2">
      <c r="A450" s="89" t="s">
        <v>296</v>
      </c>
      <c r="B450" s="90" t="s">
        <v>220</v>
      </c>
      <c r="C450" s="115"/>
      <c r="D450" s="115"/>
      <c r="E450" s="115"/>
      <c r="F450" s="244"/>
      <c r="I450" s="80"/>
    </row>
    <row r="451" spans="1:12" ht="18.75" customHeight="1" x14ac:dyDescent="0.2">
      <c r="A451" s="94" t="s">
        <v>249</v>
      </c>
      <c r="B451" s="390" t="s">
        <v>354</v>
      </c>
      <c r="C451" s="423"/>
      <c r="D451" s="391"/>
      <c r="E451" s="391"/>
      <c r="F451" s="392">
        <v>0</v>
      </c>
      <c r="I451" s="80"/>
    </row>
    <row r="452" spans="1:12" ht="20.25" customHeight="1" x14ac:dyDescent="0.2">
      <c r="A452" s="94" t="s">
        <v>251</v>
      </c>
      <c r="B452" s="390" t="s">
        <v>278</v>
      </c>
      <c r="C452" s="423"/>
      <c r="D452" s="389">
        <v>0.27</v>
      </c>
      <c r="E452" s="391">
        <f>C452*D452</f>
        <v>0</v>
      </c>
      <c r="F452" s="392">
        <f>C452*D452</f>
        <v>0</v>
      </c>
      <c r="I452" s="80"/>
    </row>
    <row r="453" spans="1:12" ht="20.25" customHeight="1" x14ac:dyDescent="0.2">
      <c r="A453" s="94" t="s">
        <v>299</v>
      </c>
      <c r="B453" s="390" t="s">
        <v>355</v>
      </c>
      <c r="C453" s="423"/>
      <c r="D453" s="389"/>
      <c r="E453" s="391"/>
      <c r="F453" s="392">
        <v>0</v>
      </c>
      <c r="I453" s="80"/>
    </row>
    <row r="454" spans="1:12" ht="20.25" customHeight="1" thickBot="1" x14ac:dyDescent="0.25">
      <c r="A454" s="94" t="s">
        <v>300</v>
      </c>
      <c r="B454" s="390" t="s">
        <v>279</v>
      </c>
      <c r="C454" s="423"/>
      <c r="D454" s="389"/>
      <c r="E454" s="391"/>
      <c r="F454" s="392">
        <v>0</v>
      </c>
      <c r="I454" s="80"/>
    </row>
    <row r="455" spans="1:12" ht="23.25" customHeight="1" thickBot="1" x14ac:dyDescent="0.25">
      <c r="A455" s="1132" t="s">
        <v>281</v>
      </c>
      <c r="B455" s="1132"/>
      <c r="C455" s="1132"/>
      <c r="D455" s="1132"/>
      <c r="E455" s="1132"/>
      <c r="F455" s="227">
        <f>F425+F426+F427+F434+F440+F441+F448+F449+F446+F428+F442</f>
        <v>21552000</v>
      </c>
      <c r="G455" s="219">
        <f>SUM(F455-'Kiadások COFOG szerint'!F263)</f>
        <v>0</v>
      </c>
    </row>
    <row r="456" spans="1:12" ht="24" hidden="1" customHeight="1" thickBot="1" x14ac:dyDescent="0.25">
      <c r="A456" s="1119" t="s">
        <v>457</v>
      </c>
      <c r="B456" s="1119"/>
      <c r="C456" s="1119"/>
      <c r="D456" s="1119"/>
      <c r="E456" s="1119"/>
      <c r="F456" s="1119"/>
    </row>
    <row r="457" spans="1:12" ht="22.5" hidden="1" customHeight="1" thickBot="1" x14ac:dyDescent="0.25">
      <c r="A457" s="1137" t="s">
        <v>46</v>
      </c>
      <c r="B457" s="1138" t="s">
        <v>47</v>
      </c>
      <c r="C457" s="1124">
        <v>2022</v>
      </c>
      <c r="D457" s="1124"/>
      <c r="E457" s="1124"/>
      <c r="F457" s="1124"/>
      <c r="L457" s="158"/>
    </row>
    <row r="458" spans="1:12" ht="24.75" hidden="1" customHeight="1" thickBot="1" x14ac:dyDescent="0.25">
      <c r="A458" s="1137"/>
      <c r="B458" s="1138"/>
      <c r="C458" s="1125"/>
      <c r="D458" s="1125"/>
      <c r="E458" s="1125"/>
      <c r="F458" s="201" t="s">
        <v>520</v>
      </c>
    </row>
    <row r="459" spans="1:12" ht="26.25" hidden="1" customHeight="1" thickBot="1" x14ac:dyDescent="0.25">
      <c r="A459" s="502" t="s">
        <v>233</v>
      </c>
      <c r="B459" s="541" t="s">
        <v>274</v>
      </c>
      <c r="C459" s="1181" t="s">
        <v>356</v>
      </c>
      <c r="D459" s="1181"/>
      <c r="E459" s="1181"/>
      <c r="F459" s="542">
        <v>0</v>
      </c>
      <c r="G459" s="421"/>
      <c r="H459" s="691"/>
      <c r="J459" s="179"/>
    </row>
    <row r="460" spans="1:12" ht="24" hidden="1" customHeight="1" thickBot="1" x14ac:dyDescent="0.25">
      <c r="A460" s="1108" t="s">
        <v>281</v>
      </c>
      <c r="B460" s="1108"/>
      <c r="C460" s="1108"/>
      <c r="D460" s="1108"/>
      <c r="E460" s="1108"/>
      <c r="F460" s="386">
        <f>SUM(F459:F459)</f>
        <v>0</v>
      </c>
    </row>
    <row r="461" spans="1:12" ht="24" customHeight="1" thickBot="1" x14ac:dyDescent="0.25">
      <c r="A461" s="1119" t="s">
        <v>458</v>
      </c>
      <c r="B461" s="1119"/>
      <c r="C461" s="1119"/>
      <c r="D461" s="1119"/>
      <c r="E461" s="1119"/>
      <c r="F461" s="1119"/>
    </row>
    <row r="462" spans="1:12" ht="24" customHeight="1" thickBot="1" x14ac:dyDescent="0.25">
      <c r="A462" s="1137" t="s">
        <v>46</v>
      </c>
      <c r="B462" s="1138" t="s">
        <v>47</v>
      </c>
      <c r="C462" s="1124">
        <v>2021</v>
      </c>
      <c r="D462" s="1124"/>
      <c r="E462" s="1124"/>
      <c r="F462" s="1124"/>
    </row>
    <row r="463" spans="1:12" ht="24" customHeight="1" thickBot="1" x14ac:dyDescent="0.25">
      <c r="A463" s="1137"/>
      <c r="B463" s="1138"/>
      <c r="C463" s="1125"/>
      <c r="D463" s="1125"/>
      <c r="E463" s="1125"/>
      <c r="F463" s="201" t="s">
        <v>520</v>
      </c>
    </row>
    <row r="464" spans="1:12" ht="24" customHeight="1" x14ac:dyDescent="0.2">
      <c r="A464" s="431" t="s">
        <v>195</v>
      </c>
      <c r="B464" s="428" t="s">
        <v>359</v>
      </c>
      <c r="C464" s="1175"/>
      <c r="D464" s="1175"/>
      <c r="E464" s="1175"/>
      <c r="F464" s="429">
        <v>1300000</v>
      </c>
      <c r="H464" s="875">
        <f>SUM(F464*0.27)</f>
        <v>351000</v>
      </c>
    </row>
    <row r="465" spans="1:7" ht="24" customHeight="1" thickBot="1" x14ac:dyDescent="0.25">
      <c r="A465" s="248" t="s">
        <v>213</v>
      </c>
      <c r="B465" s="430" t="s">
        <v>273</v>
      </c>
      <c r="C465" s="1176"/>
      <c r="D465" s="1176"/>
      <c r="E465" s="1176"/>
      <c r="F465" s="437">
        <v>351000</v>
      </c>
    </row>
    <row r="466" spans="1:7" ht="24" customHeight="1" thickBot="1" x14ac:dyDescent="0.25">
      <c r="A466" s="1132" t="s">
        <v>281</v>
      </c>
      <c r="B466" s="1132"/>
      <c r="C466" s="1132"/>
      <c r="D466" s="1132"/>
      <c r="E466" s="1132"/>
      <c r="F466" s="227">
        <f>SUM(F464:F465)</f>
        <v>1651000</v>
      </c>
      <c r="G466" s="219">
        <f>SUM(F466-'Kiadások COFOG szerint'!F277)</f>
        <v>0</v>
      </c>
    </row>
    <row r="467" spans="1:7" ht="23.25" hidden="1" customHeight="1" thickBot="1" x14ac:dyDescent="0.25">
      <c r="A467" s="1109" t="s">
        <v>139</v>
      </c>
      <c r="B467" s="1109"/>
      <c r="C467" s="1109"/>
      <c r="D467" s="1109"/>
      <c r="E467" s="1109"/>
      <c r="F467" s="1109"/>
    </row>
    <row r="468" spans="1:7" ht="16.5" hidden="1" customHeight="1" thickBot="1" x14ac:dyDescent="0.25">
      <c r="A468" s="1137" t="s">
        <v>46</v>
      </c>
      <c r="B468" s="1122" t="s">
        <v>47</v>
      </c>
      <c r="C468" s="1124">
        <v>2021</v>
      </c>
      <c r="D468" s="1124"/>
      <c r="E468" s="1124"/>
      <c r="F468" s="1124"/>
    </row>
    <row r="469" spans="1:7" ht="25.5" hidden="1" customHeight="1" thickBot="1" x14ac:dyDescent="0.25">
      <c r="A469" s="1137"/>
      <c r="B469" s="1138"/>
      <c r="C469" s="1125"/>
      <c r="D469" s="1125"/>
      <c r="E469" s="1125"/>
      <c r="F469" s="201" t="s">
        <v>520</v>
      </c>
    </row>
    <row r="470" spans="1:7" ht="25.5" hidden="1" customHeight="1" thickBot="1" x14ac:dyDescent="0.25">
      <c r="A470" s="249" t="s">
        <v>223</v>
      </c>
      <c r="B470" s="545" t="s">
        <v>357</v>
      </c>
      <c r="C470" s="1194" t="s">
        <v>358</v>
      </c>
      <c r="D470" s="1194"/>
      <c r="E470" s="1194"/>
      <c r="F470" s="546">
        <v>0</v>
      </c>
    </row>
    <row r="471" spans="1:7" ht="21" hidden="1" customHeight="1" thickBot="1" x14ac:dyDescent="0.25">
      <c r="A471" s="1183" t="s">
        <v>281</v>
      </c>
      <c r="B471" s="1183"/>
      <c r="C471" s="1183"/>
      <c r="D471" s="1183"/>
      <c r="E471" s="1183"/>
      <c r="F471" s="227">
        <f>SUM(F470:F470)</f>
        <v>0</v>
      </c>
    </row>
    <row r="472" spans="1:7" ht="22.5" hidden="1" customHeight="1" thickBot="1" x14ac:dyDescent="0.25">
      <c r="A472" s="1119" t="s">
        <v>301</v>
      </c>
      <c r="B472" s="1119"/>
      <c r="C472" s="1119"/>
      <c r="D472" s="1119"/>
      <c r="E472" s="1119"/>
      <c r="F472" s="1119"/>
    </row>
    <row r="473" spans="1:7" ht="22.5" hidden="1" customHeight="1" thickBot="1" x14ac:dyDescent="0.25">
      <c r="A473" s="1192" t="s">
        <v>46</v>
      </c>
      <c r="B473" s="1193" t="s">
        <v>47</v>
      </c>
      <c r="C473" s="1124">
        <v>2021</v>
      </c>
      <c r="D473" s="1124"/>
      <c r="E473" s="1124"/>
      <c r="F473" s="1124"/>
    </row>
    <row r="474" spans="1:7" ht="22.5" hidden="1" customHeight="1" thickBot="1" x14ac:dyDescent="0.25">
      <c r="A474" s="1192"/>
      <c r="B474" s="1193"/>
      <c r="C474" s="1125"/>
      <c r="D474" s="1125"/>
      <c r="E474" s="1125"/>
      <c r="F474" s="201" t="s">
        <v>520</v>
      </c>
    </row>
    <row r="475" spans="1:7" ht="22.5" hidden="1" customHeight="1" x14ac:dyDescent="0.2">
      <c r="A475" s="157" t="s">
        <v>195</v>
      </c>
      <c r="B475" s="433" t="s">
        <v>359</v>
      </c>
      <c r="C475" s="434"/>
      <c r="D475" s="436">
        <v>0.27</v>
      </c>
      <c r="E475" s="434"/>
      <c r="F475" s="288">
        <v>0</v>
      </c>
    </row>
    <row r="476" spans="1:7" ht="22.5" hidden="1" customHeight="1" x14ac:dyDescent="0.2">
      <c r="A476" s="157" t="s">
        <v>213</v>
      </c>
      <c r="B476" s="433" t="s">
        <v>273</v>
      </c>
      <c r="C476" s="435">
        <f>F475</f>
        <v>0</v>
      </c>
      <c r="D476" s="436">
        <v>0.27</v>
      </c>
      <c r="E476" s="434"/>
      <c r="F476" s="288">
        <f>C476*D476</f>
        <v>0</v>
      </c>
    </row>
    <row r="477" spans="1:7" ht="22.5" hidden="1" customHeight="1" x14ac:dyDescent="0.2">
      <c r="A477" s="1183" t="s">
        <v>281</v>
      </c>
      <c r="B477" s="1183"/>
      <c r="C477" s="1183"/>
      <c r="D477" s="1183"/>
      <c r="E477" s="1183"/>
      <c r="F477" s="227">
        <f>SUM(F475:F476)</f>
        <v>0</v>
      </c>
    </row>
    <row r="478" spans="1:7" ht="24.75" customHeight="1" thickBot="1" x14ac:dyDescent="0.25">
      <c r="A478" s="1109" t="s">
        <v>461</v>
      </c>
      <c r="B478" s="1109"/>
      <c r="C478" s="1109"/>
      <c r="D478" s="1109"/>
      <c r="E478" s="1109"/>
      <c r="F478" s="1109"/>
    </row>
    <row r="479" spans="1:7" ht="15.75" customHeight="1" thickBot="1" x14ac:dyDescent="0.25">
      <c r="A479" s="1120" t="s">
        <v>46</v>
      </c>
      <c r="B479" s="1122" t="s">
        <v>47</v>
      </c>
      <c r="C479" s="1124">
        <v>2022</v>
      </c>
      <c r="D479" s="1124"/>
      <c r="E479" s="1124"/>
      <c r="F479" s="1124"/>
    </row>
    <row r="480" spans="1:7" ht="24" customHeight="1" thickBot="1" x14ac:dyDescent="0.25">
      <c r="A480" s="1137"/>
      <c r="B480" s="1138"/>
      <c r="C480" s="1125"/>
      <c r="D480" s="1125"/>
      <c r="E480" s="1125"/>
      <c r="F480" s="201" t="s">
        <v>520</v>
      </c>
    </row>
    <row r="481" spans="1:13" ht="21" customHeight="1" x14ac:dyDescent="0.2">
      <c r="A481" s="557" t="s">
        <v>514</v>
      </c>
      <c r="B481" s="985" t="s">
        <v>421</v>
      </c>
      <c r="C481" s="311" t="s">
        <v>515</v>
      </c>
      <c r="D481" s="664"/>
      <c r="E481" s="311"/>
      <c r="F481" s="206"/>
    </row>
    <row r="482" spans="1:13" ht="21" customHeight="1" x14ac:dyDescent="0.2">
      <c r="A482" s="857" t="s">
        <v>430</v>
      </c>
      <c r="B482" s="985" t="s">
        <v>492</v>
      </c>
      <c r="C482" s="311"/>
      <c r="D482" s="664"/>
      <c r="E482" s="311">
        <v>50000</v>
      </c>
      <c r="F482" s="206">
        <f>SUM(E482)</f>
        <v>50000</v>
      </c>
    </row>
    <row r="483" spans="1:13" ht="21" customHeight="1" x14ac:dyDescent="0.2">
      <c r="A483" s="660" t="s">
        <v>148</v>
      </c>
      <c r="B483" s="985" t="s">
        <v>149</v>
      </c>
      <c r="C483" s="311" t="s">
        <v>573</v>
      </c>
      <c r="D483" s="664"/>
      <c r="E483" s="311">
        <v>12000</v>
      </c>
      <c r="F483" s="206">
        <f>SUM(E483)</f>
        <v>12000</v>
      </c>
    </row>
    <row r="484" spans="1:13" ht="21" customHeight="1" x14ac:dyDescent="0.2">
      <c r="A484" s="660" t="s">
        <v>154</v>
      </c>
      <c r="B484" s="985" t="s">
        <v>671</v>
      </c>
      <c r="C484" s="311"/>
      <c r="D484" s="664"/>
      <c r="E484" s="311"/>
      <c r="F484" s="206">
        <v>2000000</v>
      </c>
    </row>
    <row r="485" spans="1:13" x14ac:dyDescent="0.2">
      <c r="A485" s="660"/>
      <c r="B485" s="661"/>
      <c r="C485" s="662" t="s">
        <v>672</v>
      </c>
      <c r="D485" s="663">
        <v>1</v>
      </c>
      <c r="E485" s="663">
        <v>165000</v>
      </c>
      <c r="F485" s="991">
        <f>SUM(E485*D485)</f>
        <v>165000</v>
      </c>
    </row>
    <row r="486" spans="1:13" x14ac:dyDescent="0.2">
      <c r="A486" s="660"/>
      <c r="B486" s="661"/>
      <c r="C486" s="662" t="s">
        <v>672</v>
      </c>
      <c r="D486" s="663">
        <v>11</v>
      </c>
      <c r="E486" s="663">
        <v>165000</v>
      </c>
      <c r="F486" s="991">
        <f>SUM(E486*D486)</f>
        <v>1815000</v>
      </c>
    </row>
    <row r="487" spans="1:13" x14ac:dyDescent="0.2">
      <c r="A487" s="660" t="s">
        <v>351</v>
      </c>
      <c r="B487" s="985" t="s">
        <v>666</v>
      </c>
      <c r="C487" s="311"/>
      <c r="D487" s="664"/>
      <c r="E487" s="311"/>
      <c r="F487" s="206">
        <f>SUM(F488:F489)</f>
        <v>300000</v>
      </c>
    </row>
    <row r="488" spans="1:13" x14ac:dyDescent="0.2">
      <c r="B488" s="556" t="s">
        <v>159</v>
      </c>
      <c r="C488" s="659">
        <f>SUM(F484+F482+F483)</f>
        <v>2062000</v>
      </c>
      <c r="D488" s="583">
        <v>0.13</v>
      </c>
      <c r="E488" s="659">
        <f>SUM(C488*D488)</f>
        <v>268060</v>
      </c>
      <c r="F488" s="395">
        <v>290000</v>
      </c>
    </row>
    <row r="489" spans="1:13" x14ac:dyDescent="0.2">
      <c r="A489" s="660"/>
      <c r="B489" s="661" t="s">
        <v>664</v>
      </c>
      <c r="C489" s="663">
        <f>SUM(F482)</f>
        <v>50000</v>
      </c>
      <c r="D489" s="956">
        <v>0.15</v>
      </c>
      <c r="E489" s="663">
        <f>SUM(C489*D489)</f>
        <v>7500</v>
      </c>
      <c r="F489" s="991">
        <v>10000</v>
      </c>
    </row>
    <row r="490" spans="1:13" ht="18.75" customHeight="1" x14ac:dyDescent="0.2">
      <c r="A490" s="987" t="s">
        <v>201</v>
      </c>
      <c r="B490" s="985" t="s">
        <v>202</v>
      </c>
      <c r="C490" s="311"/>
      <c r="D490" s="664"/>
      <c r="E490" s="311"/>
      <c r="F490" s="206"/>
    </row>
    <row r="491" spans="1:13" ht="26.25" customHeight="1" thickBot="1" x14ac:dyDescent="0.25">
      <c r="A491" s="183" t="s">
        <v>233</v>
      </c>
      <c r="B491" s="985" t="s">
        <v>274</v>
      </c>
      <c r="C491" s="1184" t="s">
        <v>360</v>
      </c>
      <c r="D491" s="1185"/>
      <c r="E491" s="1186"/>
      <c r="F491" s="206">
        <v>0</v>
      </c>
      <c r="G491" s="547" t="s">
        <v>513</v>
      </c>
      <c r="H491" s="692"/>
      <c r="I491" s="702"/>
      <c r="J491" s="297"/>
      <c r="K491" s="250"/>
      <c r="L491" s="251"/>
      <c r="M491" s="250"/>
    </row>
    <row r="492" spans="1:13" ht="21.75" customHeight="1" thickBot="1" x14ac:dyDescent="0.25">
      <c r="A492" s="1132" t="s">
        <v>281</v>
      </c>
      <c r="B492" s="1132"/>
      <c r="C492" s="1132"/>
      <c r="D492" s="1132"/>
      <c r="E492" s="1132"/>
      <c r="F492" s="227">
        <f>SUM(F481+F482+F483+F484+F487+F490+F491)</f>
        <v>2362000</v>
      </c>
      <c r="G492" s="219">
        <f>SUM(F492-'Kiadások COFOG szerint'!F299)</f>
        <v>0</v>
      </c>
    </row>
    <row r="493" spans="1:13" ht="24.75" customHeight="1" thickBot="1" x14ac:dyDescent="0.25">
      <c r="A493" s="1158" t="s">
        <v>304</v>
      </c>
      <c r="B493" s="1158"/>
      <c r="C493" s="1109"/>
      <c r="D493" s="1109"/>
      <c r="E493" s="1109"/>
      <c r="F493" s="1109"/>
    </row>
    <row r="494" spans="1:13" ht="18.75" customHeight="1" x14ac:dyDescent="0.2">
      <c r="A494" s="1179" t="s">
        <v>46</v>
      </c>
      <c r="B494" s="1179" t="s">
        <v>47</v>
      </c>
      <c r="C494" s="1124">
        <v>2022</v>
      </c>
      <c r="D494" s="1124"/>
      <c r="E494" s="1124"/>
      <c r="F494" s="1124"/>
      <c r="H494" s="1187" t="s">
        <v>574</v>
      </c>
      <c r="I494" s="1187"/>
      <c r="J494" s="122">
        <v>10471000</v>
      </c>
    </row>
    <row r="495" spans="1:13" ht="25.5" customHeight="1" thickBot="1" x14ac:dyDescent="0.25">
      <c r="A495" s="1179"/>
      <c r="B495" s="1179"/>
      <c r="C495" s="1125"/>
      <c r="D495" s="1125"/>
      <c r="E495" s="1125"/>
      <c r="F495" s="201" t="s">
        <v>520</v>
      </c>
    </row>
    <row r="496" spans="1:13" ht="25.5" customHeight="1" x14ac:dyDescent="0.2">
      <c r="A496" s="442" t="s">
        <v>170</v>
      </c>
      <c r="B496" s="445" t="s">
        <v>462</v>
      </c>
      <c r="C496" s="441" t="s">
        <v>701</v>
      </c>
      <c r="D496" s="438"/>
      <c r="E496" s="438"/>
      <c r="F496" s="439"/>
      <c r="G496" s="219"/>
      <c r="H496" s="676"/>
      <c r="I496" s="703"/>
      <c r="J496" s="114"/>
    </row>
    <row r="497" spans="1:15" ht="25.5" customHeight="1" x14ac:dyDescent="0.2">
      <c r="A497" s="164" t="s">
        <v>361</v>
      </c>
      <c r="B497" s="252" t="s">
        <v>380</v>
      </c>
      <c r="C497" s="253"/>
      <c r="D497" s="253"/>
      <c r="E497" s="253"/>
      <c r="F497" s="254"/>
      <c r="G497" s="219"/>
    </row>
    <row r="498" spans="1:15" ht="25.5" customHeight="1" x14ac:dyDescent="0.2">
      <c r="A498" s="164" t="s">
        <v>213</v>
      </c>
      <c r="B498" s="252" t="s">
        <v>273</v>
      </c>
      <c r="C498" s="341">
        <f>F497+F496</f>
        <v>0</v>
      </c>
      <c r="D498" s="443">
        <v>0.27</v>
      </c>
      <c r="E498" s="444">
        <f>C498*D498</f>
        <v>0</v>
      </c>
      <c r="F498" s="254"/>
      <c r="G498" s="219"/>
    </row>
    <row r="499" spans="1:15" ht="21.75" customHeight="1" thickBot="1" x14ac:dyDescent="0.25">
      <c r="A499" s="164" t="s">
        <v>463</v>
      </c>
      <c r="B499" s="252" t="s">
        <v>470</v>
      </c>
      <c r="C499" s="341"/>
      <c r="D499" s="443"/>
      <c r="E499" s="444"/>
      <c r="F499" s="254"/>
      <c r="G499" s="219"/>
    </row>
    <row r="500" spans="1:15" ht="21" customHeight="1" x14ac:dyDescent="0.2">
      <c r="A500" s="1180" t="s">
        <v>362</v>
      </c>
      <c r="B500" s="446" t="s">
        <v>363</v>
      </c>
      <c r="C500" s="447"/>
      <c r="D500" s="448"/>
      <c r="E500" s="449"/>
      <c r="F500" s="450">
        <f>F501</f>
        <v>6300000</v>
      </c>
      <c r="G500" s="219"/>
      <c r="L500" s="49"/>
      <c r="M500" s="255"/>
      <c r="N500" s="199"/>
      <c r="O500" s="256"/>
    </row>
    <row r="501" spans="1:15" ht="36.75" customHeight="1" thickBot="1" x14ac:dyDescent="0.25">
      <c r="A501" s="1103"/>
      <c r="B501" s="451" t="s">
        <v>468</v>
      </c>
      <c r="C501" s="410"/>
      <c r="D501" s="410"/>
      <c r="E501" s="217"/>
      <c r="F501" s="257">
        <v>6300000</v>
      </c>
      <c r="G501" s="219"/>
      <c r="H501" s="689"/>
      <c r="J501" s="71"/>
      <c r="L501" s="49"/>
      <c r="M501" s="255"/>
      <c r="N501" s="199"/>
      <c r="O501" s="256"/>
    </row>
    <row r="502" spans="1:15" ht="25.5" customHeight="1" x14ac:dyDescent="0.2">
      <c r="A502" s="440" t="s">
        <v>364</v>
      </c>
      <c r="B502" s="260" t="s">
        <v>365</v>
      </c>
      <c r="C502" s="261"/>
      <c r="D502" s="261"/>
      <c r="E502" s="261"/>
      <c r="F502" s="262">
        <f>SUM(F503:F507)</f>
        <v>5500000</v>
      </c>
      <c r="G502" s="422"/>
      <c r="L502" s="49"/>
      <c r="M502" s="255"/>
      <c r="N502" s="199"/>
      <c r="O502" s="256"/>
    </row>
    <row r="503" spans="1:15" ht="21.75" customHeight="1" x14ac:dyDescent="0.2">
      <c r="A503" s="263"/>
      <c r="B503" s="258" t="s">
        <v>465</v>
      </c>
      <c r="C503" s="264"/>
      <c r="D503" s="264"/>
      <c r="E503" s="264"/>
      <c r="F503" s="259">
        <v>1500000</v>
      </c>
      <c r="G503" s="422"/>
      <c r="H503" s="676"/>
      <c r="L503" s="49"/>
      <c r="M503" s="255"/>
      <c r="N503" s="199"/>
      <c r="O503" s="256"/>
    </row>
    <row r="504" spans="1:15" ht="21.75" customHeight="1" x14ac:dyDescent="0.2">
      <c r="A504" s="263"/>
      <c r="B504" s="258" t="s">
        <v>467</v>
      </c>
      <c r="C504" s="264"/>
      <c r="D504" s="264"/>
      <c r="E504" s="264"/>
      <c r="F504" s="259">
        <v>1000000</v>
      </c>
      <c r="G504" s="422"/>
      <c r="H504" s="676"/>
      <c r="L504" s="49"/>
      <c r="M504" s="255"/>
      <c r="N504" s="199"/>
      <c r="O504" s="256"/>
    </row>
    <row r="505" spans="1:15" ht="21.75" customHeight="1" x14ac:dyDescent="0.2">
      <c r="A505" s="263"/>
      <c r="B505" s="258" t="s">
        <v>464</v>
      </c>
      <c r="C505" s="264"/>
      <c r="D505" s="264"/>
      <c r="E505" s="264"/>
      <c r="F505" s="259">
        <v>800000</v>
      </c>
      <c r="G505" s="422"/>
      <c r="H505" s="676"/>
      <c r="L505" s="49"/>
      <c r="M505" s="255"/>
      <c r="N505" s="199"/>
      <c r="O505" s="256"/>
    </row>
    <row r="506" spans="1:15" ht="20.100000000000001" customHeight="1" x14ac:dyDescent="0.2">
      <c r="A506" s="265" t="s">
        <v>364</v>
      </c>
      <c r="B506" s="258" t="s">
        <v>466</v>
      </c>
      <c r="C506" s="234" t="s">
        <v>366</v>
      </c>
      <c r="D506" s="98"/>
      <c r="E506" s="98"/>
      <c r="F506" s="259">
        <v>900000</v>
      </c>
      <c r="G506" s="422"/>
      <c r="H506" s="676"/>
      <c r="L506" s="49"/>
      <c r="M506" s="255"/>
      <c r="N506" s="199"/>
      <c r="O506" s="256"/>
    </row>
    <row r="507" spans="1:15" ht="20.100000000000001" customHeight="1" thickBot="1" x14ac:dyDescent="0.25">
      <c r="A507" s="301" t="s">
        <v>364</v>
      </c>
      <c r="B507" s="258" t="s">
        <v>367</v>
      </c>
      <c r="C507" s="234" t="s">
        <v>366</v>
      </c>
      <c r="D507" s="98"/>
      <c r="E507" s="98"/>
      <c r="F507" s="259">
        <v>1300000</v>
      </c>
      <c r="G507" s="285"/>
      <c r="H507" s="676"/>
      <c r="L507" s="266"/>
      <c r="M507" s="255"/>
      <c r="N507" s="199"/>
      <c r="O507" s="256"/>
    </row>
    <row r="508" spans="1:15" ht="21" customHeight="1" thickBot="1" x14ac:dyDescent="0.25">
      <c r="A508" s="1132" t="s">
        <v>281</v>
      </c>
      <c r="B508" s="1132"/>
      <c r="C508" s="1132"/>
      <c r="D508" s="1132"/>
      <c r="E508" s="1132"/>
      <c r="F508" s="227">
        <f>F496+F497+F498+F499+F500+F502</f>
        <v>11800000</v>
      </c>
      <c r="G508" s="219">
        <f>SUM(F508-'Kiadások COFOG szerint'!F310)</f>
        <v>0</v>
      </c>
      <c r="L508" s="49"/>
      <c r="M508" s="1098"/>
      <c r="N508" s="1098"/>
      <c r="O508" s="256"/>
    </row>
    <row r="509" spans="1:15" x14ac:dyDescent="0.2">
      <c r="L509" s="49"/>
      <c r="M509" s="1098"/>
      <c r="N509" s="1098"/>
      <c r="O509" s="256"/>
    </row>
    <row r="510" spans="1:15" ht="13.5" customHeight="1" thickBot="1" x14ac:dyDescent="0.25">
      <c r="L510" s="49"/>
      <c r="M510" s="1098"/>
      <c r="N510" s="1098"/>
      <c r="O510" s="256"/>
    </row>
    <row r="511" spans="1:15" ht="0.75" hidden="1" customHeight="1" x14ac:dyDescent="0.2">
      <c r="L511" s="49"/>
      <c r="M511" s="1098"/>
      <c r="N511" s="1098"/>
      <c r="O511" s="256"/>
    </row>
    <row r="512" spans="1:15" ht="21.75" customHeight="1" thickBot="1" x14ac:dyDescent="0.25">
      <c r="A512" s="1182" t="s">
        <v>309</v>
      </c>
      <c r="B512" s="1182"/>
      <c r="C512" s="1182"/>
      <c r="D512" s="1182"/>
      <c r="E512" s="1182"/>
      <c r="F512" s="268">
        <f>F134+F153+F167+F180+F186+F203+F216+F226+F244+F252+F269+F330+F376+F381+F393+F416+F455+F460+F466+F471+F477+F492+F508+F261</f>
        <v>571700664</v>
      </c>
      <c r="L512" s="49"/>
      <c r="M512" s="1097"/>
      <c r="N512" s="1097"/>
      <c r="O512" s="308"/>
    </row>
    <row r="513" spans="2:15" x14ac:dyDescent="0.2">
      <c r="L513" s="49"/>
      <c r="M513" s="49"/>
      <c r="N513" s="49"/>
      <c r="O513" s="256"/>
    </row>
    <row r="514" spans="2:15" x14ac:dyDescent="0.2">
      <c r="F514" s="614">
        <f>'Bevételek COFOG szerint 2020'!F161-'Kiadások részletes COFOG'!F512</f>
        <v>0</v>
      </c>
    </row>
    <row r="516" spans="2:15" x14ac:dyDescent="0.2">
      <c r="B516" s="394"/>
    </row>
    <row r="517" spans="2:15" ht="24" customHeight="1" x14ac:dyDescent="0.2">
      <c r="B517" s="1178"/>
      <c r="C517" s="1178"/>
      <c r="D517" s="1178"/>
      <c r="E517" s="316"/>
      <c r="F517" s="317"/>
    </row>
    <row r="518" spans="2:15" x14ac:dyDescent="0.2">
      <c r="B518" s="316"/>
      <c r="C518" s="316"/>
      <c r="D518" s="316"/>
      <c r="E518" s="316"/>
      <c r="F518" s="318"/>
    </row>
    <row r="519" spans="2:15" x14ac:dyDescent="0.2">
      <c r="B519" s="316"/>
      <c r="C519" s="316"/>
      <c r="D519" s="316"/>
      <c r="E519" s="316"/>
      <c r="F519" s="318"/>
    </row>
    <row r="520" spans="2:15" x14ac:dyDescent="0.2">
      <c r="B520" s="316"/>
      <c r="C520" s="316"/>
      <c r="D520" s="316"/>
      <c r="E520" s="316"/>
      <c r="F520" s="318"/>
    </row>
    <row r="521" spans="2:15" x14ac:dyDescent="0.2">
      <c r="B521" s="316"/>
      <c r="C521" s="316"/>
      <c r="D521" s="319"/>
      <c r="E521" s="316"/>
      <c r="F521" s="318"/>
    </row>
    <row r="522" spans="2:15" x14ac:dyDescent="0.2">
      <c r="B522" s="319"/>
      <c r="C522" s="316"/>
      <c r="D522" s="316"/>
      <c r="E522" s="316"/>
      <c r="F522" s="318"/>
    </row>
    <row r="523" spans="2:15" x14ac:dyDescent="0.2">
      <c r="B523" s="316"/>
      <c r="C523" s="316"/>
      <c r="D523" s="316"/>
      <c r="E523" s="316"/>
      <c r="F523" s="318"/>
    </row>
    <row r="524" spans="2:15" x14ac:dyDescent="0.2">
      <c r="B524" s="316"/>
      <c r="C524" s="316"/>
      <c r="D524" s="316"/>
      <c r="E524" s="316"/>
      <c r="F524" s="318"/>
    </row>
    <row r="525" spans="2:15" x14ac:dyDescent="0.2">
      <c r="B525" s="316"/>
      <c r="C525" s="316"/>
      <c r="D525" s="316"/>
      <c r="E525" s="316"/>
      <c r="F525" s="318"/>
    </row>
    <row r="526" spans="2:15" x14ac:dyDescent="0.2">
      <c r="B526" s="316"/>
      <c r="C526" s="316"/>
      <c r="D526" s="316"/>
      <c r="E526" s="316"/>
      <c r="F526" s="318"/>
    </row>
    <row r="527" spans="2:15" x14ac:dyDescent="0.2">
      <c r="B527" s="316"/>
      <c r="C527" s="316"/>
      <c r="D527" s="316"/>
      <c r="E527" s="316"/>
      <c r="F527" s="318"/>
    </row>
    <row r="528" spans="2:15" x14ac:dyDescent="0.2">
      <c r="B528" s="316"/>
      <c r="C528" s="316"/>
      <c r="D528" s="316"/>
      <c r="E528" s="316"/>
      <c r="F528" s="318"/>
    </row>
    <row r="529" spans="2:6" x14ac:dyDescent="0.2">
      <c r="B529" s="316"/>
      <c r="C529" s="316"/>
      <c r="D529" s="316"/>
      <c r="E529" s="316"/>
      <c r="F529" s="318"/>
    </row>
    <row r="530" spans="2:6" x14ac:dyDescent="0.2">
      <c r="B530" s="316"/>
      <c r="C530" s="316"/>
      <c r="D530" s="316"/>
      <c r="E530" s="316"/>
      <c r="F530" s="318"/>
    </row>
    <row r="531" spans="2:6" x14ac:dyDescent="0.2">
      <c r="B531" s="316"/>
      <c r="C531" s="316"/>
      <c r="D531" s="316"/>
      <c r="E531" s="316"/>
      <c r="F531" s="318"/>
    </row>
  </sheetData>
  <mergeCells count="309">
    <mergeCell ref="A84:A87"/>
    <mergeCell ref="A67:A70"/>
    <mergeCell ref="A71:A83"/>
    <mergeCell ref="F192:F193"/>
    <mergeCell ref="B126:E126"/>
    <mergeCell ref="B127:E127"/>
    <mergeCell ref="B128:E128"/>
    <mergeCell ref="B129:E129"/>
    <mergeCell ref="B133:E133"/>
    <mergeCell ref="B138:E138"/>
    <mergeCell ref="B141:E141"/>
    <mergeCell ref="B149:E149"/>
    <mergeCell ref="B150:E150"/>
    <mergeCell ref="A181:F181"/>
    <mergeCell ref="A182:A183"/>
    <mergeCell ref="B182:B183"/>
    <mergeCell ref="C182:F182"/>
    <mergeCell ref="C183:E183"/>
    <mergeCell ref="A186:E186"/>
    <mergeCell ref="A187:F187"/>
    <mergeCell ref="A188:A189"/>
    <mergeCell ref="B188:B189"/>
    <mergeCell ref="C188:F188"/>
    <mergeCell ref="C189:E189"/>
    <mergeCell ref="A512:E512"/>
    <mergeCell ref="M512:N512"/>
    <mergeCell ref="A477:E477"/>
    <mergeCell ref="A478:F478"/>
    <mergeCell ref="A479:A480"/>
    <mergeCell ref="B479:B480"/>
    <mergeCell ref="C479:F479"/>
    <mergeCell ref="C480:E480"/>
    <mergeCell ref="C491:E491"/>
    <mergeCell ref="A492:E492"/>
    <mergeCell ref="A493:F493"/>
    <mergeCell ref="M508:N508"/>
    <mergeCell ref="M509:N509"/>
    <mergeCell ref="H494:I494"/>
    <mergeCell ref="M510:N510"/>
    <mergeCell ref="M511:N511"/>
    <mergeCell ref="B517:D517"/>
    <mergeCell ref="A494:A495"/>
    <mergeCell ref="B494:B495"/>
    <mergeCell ref="C494:F494"/>
    <mergeCell ref="C495:E495"/>
    <mergeCell ref="A500:A501"/>
    <mergeCell ref="A508:E508"/>
    <mergeCell ref="B435:F435"/>
    <mergeCell ref="B440:E440"/>
    <mergeCell ref="A455:E455"/>
    <mergeCell ref="A456:F456"/>
    <mergeCell ref="A457:A458"/>
    <mergeCell ref="B457:B458"/>
    <mergeCell ref="C457:F457"/>
    <mergeCell ref="C458:E458"/>
    <mergeCell ref="C459:E459"/>
    <mergeCell ref="B442:E442"/>
    <mergeCell ref="B446:E446"/>
    <mergeCell ref="B449:E449"/>
    <mergeCell ref="A460:E460"/>
    <mergeCell ref="A467:F467"/>
    <mergeCell ref="A468:A469"/>
    <mergeCell ref="B468:B469"/>
    <mergeCell ref="C468:F468"/>
    <mergeCell ref="C463:E463"/>
    <mergeCell ref="C464:E464"/>
    <mergeCell ref="C465:E465"/>
    <mergeCell ref="A466:E466"/>
    <mergeCell ref="C474:E474"/>
    <mergeCell ref="C418:F418"/>
    <mergeCell ref="C419:E419"/>
    <mergeCell ref="B420:F420"/>
    <mergeCell ref="B425:E425"/>
    <mergeCell ref="B434:E434"/>
    <mergeCell ref="A429:A431"/>
    <mergeCell ref="A471:E471"/>
    <mergeCell ref="A472:F472"/>
    <mergeCell ref="A473:A474"/>
    <mergeCell ref="B473:B474"/>
    <mergeCell ref="C473:F473"/>
    <mergeCell ref="A418:A419"/>
    <mergeCell ref="B418:B419"/>
    <mergeCell ref="C469:E469"/>
    <mergeCell ref="C470:E470"/>
    <mergeCell ref="A461:F461"/>
    <mergeCell ref="A462:A463"/>
    <mergeCell ref="B462:B463"/>
    <mergeCell ref="C462:F462"/>
    <mergeCell ref="C403:E403"/>
    <mergeCell ref="C404:E404"/>
    <mergeCell ref="C405:E405"/>
    <mergeCell ref="C406:E406"/>
    <mergeCell ref="C407:E407"/>
    <mergeCell ref="C408:E408"/>
    <mergeCell ref="C409:E409"/>
    <mergeCell ref="B429:B431"/>
    <mergeCell ref="C397:E397"/>
    <mergeCell ref="B398:B415"/>
    <mergeCell ref="C398:E398"/>
    <mergeCell ref="C410:E410"/>
    <mergeCell ref="C411:E411"/>
    <mergeCell ref="C412:E412"/>
    <mergeCell ref="C413:E413"/>
    <mergeCell ref="C414:E414"/>
    <mergeCell ref="C415:E415"/>
    <mergeCell ref="C401:E401"/>
    <mergeCell ref="A416:E416"/>
    <mergeCell ref="A417:F417"/>
    <mergeCell ref="B371:E371"/>
    <mergeCell ref="A383:A384"/>
    <mergeCell ref="B383:B384"/>
    <mergeCell ref="C383:F383"/>
    <mergeCell ref="C384:E384"/>
    <mergeCell ref="A393:E393"/>
    <mergeCell ref="C399:E399"/>
    <mergeCell ref="C400:E400"/>
    <mergeCell ref="C402:E402"/>
    <mergeCell ref="A376:E376"/>
    <mergeCell ref="A382:F382"/>
    <mergeCell ref="A377:F377"/>
    <mergeCell ref="A378:A379"/>
    <mergeCell ref="B378:B379"/>
    <mergeCell ref="C378:F378"/>
    <mergeCell ref="C379:E379"/>
    <mergeCell ref="A381:E381"/>
    <mergeCell ref="B374:E374"/>
    <mergeCell ref="A394:F394"/>
    <mergeCell ref="A395:A396"/>
    <mergeCell ref="B395:B396"/>
    <mergeCell ref="C395:F395"/>
    <mergeCell ref="C396:E396"/>
    <mergeCell ref="A397:A415"/>
    <mergeCell ref="B338:E338"/>
    <mergeCell ref="A351:A354"/>
    <mergeCell ref="B351:F351"/>
    <mergeCell ref="B354:E354"/>
    <mergeCell ref="A364:A366"/>
    <mergeCell ref="B350:E350"/>
    <mergeCell ref="B323:F323"/>
    <mergeCell ref="B325:E325"/>
    <mergeCell ref="A330:E330"/>
    <mergeCell ref="A331:F331"/>
    <mergeCell ref="A332:A333"/>
    <mergeCell ref="B332:B333"/>
    <mergeCell ref="C332:F332"/>
    <mergeCell ref="C333:E333"/>
    <mergeCell ref="B347:E347"/>
    <mergeCell ref="A271:A272"/>
    <mergeCell ref="B271:B272"/>
    <mergeCell ref="C271:F271"/>
    <mergeCell ref="C272:E272"/>
    <mergeCell ref="B273:F273"/>
    <mergeCell ref="B276:E276"/>
    <mergeCell ref="A300:A309"/>
    <mergeCell ref="A298:A299"/>
    <mergeCell ref="A292:A297"/>
    <mergeCell ref="A288:A290"/>
    <mergeCell ref="A281:A283"/>
    <mergeCell ref="A273:A276"/>
    <mergeCell ref="A252:E252"/>
    <mergeCell ref="A262:F262"/>
    <mergeCell ref="A263:A264"/>
    <mergeCell ref="B263:B264"/>
    <mergeCell ref="C263:F263"/>
    <mergeCell ref="C264:E264"/>
    <mergeCell ref="A261:E261"/>
    <mergeCell ref="A269:E269"/>
    <mergeCell ref="A270:F270"/>
    <mergeCell ref="A239:A242"/>
    <mergeCell ref="B239:F239"/>
    <mergeCell ref="B230:E230"/>
    <mergeCell ref="I239:J239"/>
    <mergeCell ref="B242:E242"/>
    <mergeCell ref="A244:E244"/>
    <mergeCell ref="A245:F245"/>
    <mergeCell ref="A246:A247"/>
    <mergeCell ref="B246:B247"/>
    <mergeCell ref="C246:F246"/>
    <mergeCell ref="C247:E247"/>
    <mergeCell ref="A231:A234"/>
    <mergeCell ref="B235:E235"/>
    <mergeCell ref="A180:E180"/>
    <mergeCell ref="B171:E171"/>
    <mergeCell ref="A218:A219"/>
    <mergeCell ref="B218:B219"/>
    <mergeCell ref="C218:F218"/>
    <mergeCell ref="C219:E219"/>
    <mergeCell ref="A226:E226"/>
    <mergeCell ref="A228:A229"/>
    <mergeCell ref="B234:E234"/>
    <mergeCell ref="B184:E184"/>
    <mergeCell ref="B185:E185"/>
    <mergeCell ref="B192:E192"/>
    <mergeCell ref="B194:E194"/>
    <mergeCell ref="B193:E193"/>
    <mergeCell ref="B191:F191"/>
    <mergeCell ref="A192:A193"/>
    <mergeCell ref="A167:E167"/>
    <mergeCell ref="B151:E151"/>
    <mergeCell ref="B152:E152"/>
    <mergeCell ref="A168:F168"/>
    <mergeCell ref="A169:A170"/>
    <mergeCell ref="B169:B170"/>
    <mergeCell ref="C169:F169"/>
    <mergeCell ref="C170:E170"/>
    <mergeCell ref="A176:A177"/>
    <mergeCell ref="B177:E177"/>
    <mergeCell ref="B175:E175"/>
    <mergeCell ref="B142:F142"/>
    <mergeCell ref="B145:E145"/>
    <mergeCell ref="A146:A147"/>
    <mergeCell ref="B147:E147"/>
    <mergeCell ref="A153:E153"/>
    <mergeCell ref="A154:F154"/>
    <mergeCell ref="A155:A156"/>
    <mergeCell ref="B155:B156"/>
    <mergeCell ref="C155:F155"/>
    <mergeCell ref="C156:E156"/>
    <mergeCell ref="A11:A14"/>
    <mergeCell ref="B11:F11"/>
    <mergeCell ref="B14:E14"/>
    <mergeCell ref="B16:F16"/>
    <mergeCell ref="B30:E30"/>
    <mergeCell ref="A31:A38"/>
    <mergeCell ref="B31:F31"/>
    <mergeCell ref="B38:E38"/>
    <mergeCell ref="A40:A43"/>
    <mergeCell ref="B43:E43"/>
    <mergeCell ref="E1:F1"/>
    <mergeCell ref="A3:F3"/>
    <mergeCell ref="A4:F4"/>
    <mergeCell ref="A6:F6"/>
    <mergeCell ref="A8:F8"/>
    <mergeCell ref="A9:A10"/>
    <mergeCell ref="B9:B10"/>
    <mergeCell ref="C9:F9"/>
    <mergeCell ref="C10:E10"/>
    <mergeCell ref="G190:J190"/>
    <mergeCell ref="A253:F253"/>
    <mergeCell ref="A254:A255"/>
    <mergeCell ref="B254:B255"/>
    <mergeCell ref="C254:F254"/>
    <mergeCell ref="C255:E255"/>
    <mergeCell ref="B190:F190"/>
    <mergeCell ref="B201:E201"/>
    <mergeCell ref="B202:E202"/>
    <mergeCell ref="B198:E198"/>
    <mergeCell ref="B199:E199"/>
    <mergeCell ref="B196:E196"/>
    <mergeCell ref="B200:E200"/>
    <mergeCell ref="A196:A202"/>
    <mergeCell ref="A203:E203"/>
    <mergeCell ref="A204:F204"/>
    <mergeCell ref="A205:A206"/>
    <mergeCell ref="B205:B206"/>
    <mergeCell ref="C205:F205"/>
    <mergeCell ref="C206:E206"/>
    <mergeCell ref="B228:B229"/>
    <mergeCell ref="C228:F228"/>
    <mergeCell ref="C229:E229"/>
    <mergeCell ref="A217:F217"/>
    <mergeCell ref="A227:F227"/>
    <mergeCell ref="B47:E47"/>
    <mergeCell ref="B116:E116"/>
    <mergeCell ref="B87:E87"/>
    <mergeCell ref="B99:E99"/>
    <mergeCell ref="B70:E70"/>
    <mergeCell ref="B83:E83"/>
    <mergeCell ref="B102:F102"/>
    <mergeCell ref="B105:E105"/>
    <mergeCell ref="A108:A110"/>
    <mergeCell ref="B108:F108"/>
    <mergeCell ref="B110:E110"/>
    <mergeCell ref="A112:A125"/>
    <mergeCell ref="B112:E112"/>
    <mergeCell ref="B113:F113"/>
    <mergeCell ref="A88:A97"/>
    <mergeCell ref="B121:E121"/>
    <mergeCell ref="B125:E125"/>
    <mergeCell ref="B114:E114"/>
    <mergeCell ref="B115:E115"/>
    <mergeCell ref="B123:E123"/>
    <mergeCell ref="B117:E117"/>
    <mergeCell ref="B118:E118"/>
    <mergeCell ref="B120:E120"/>
    <mergeCell ref="B119:E119"/>
    <mergeCell ref="B122:E122"/>
    <mergeCell ref="B197:E197"/>
    <mergeCell ref="B39:E39"/>
    <mergeCell ref="A44:A47"/>
    <mergeCell ref="A48:A52"/>
    <mergeCell ref="A53:A56"/>
    <mergeCell ref="A57:A58"/>
    <mergeCell ref="A216:E216"/>
    <mergeCell ref="B130:F130"/>
    <mergeCell ref="B52:E52"/>
    <mergeCell ref="A63:A66"/>
    <mergeCell ref="B66:E66"/>
    <mergeCell ref="B56:E56"/>
    <mergeCell ref="B58:E58"/>
    <mergeCell ref="B62:E62"/>
    <mergeCell ref="B132:E132"/>
    <mergeCell ref="A134:E134"/>
    <mergeCell ref="A135:F135"/>
    <mergeCell ref="A136:A137"/>
    <mergeCell ref="B136:B137"/>
    <mergeCell ref="C136:F136"/>
    <mergeCell ref="C137:E137"/>
    <mergeCell ref="A142:A145"/>
  </mergeCells>
  <phoneticPr fontId="33" type="noConversion"/>
  <pageMargins left="0.39370078740157483" right="0.39370078740157483" top="0.39370078740157483" bottom="0.39370078740157483" header="0.51181102362204722" footer="0.51181102362204722"/>
  <pageSetup paperSize="9" scale="80" firstPageNumber="0" orientation="portrait" verticalDpi="300" r:id="rId1"/>
  <headerFooter>
    <oddHeader>&amp;R2020.01.hó</oddHeader>
    <oddFooter>&amp;LKészítette: FNZS&amp;C&amp;P/&amp;N</oddFooter>
  </headerFooter>
  <rowBreaks count="6" manualBreakCount="6">
    <brk id="134" max="16383" man="1"/>
    <brk id="203" max="16383" man="1"/>
    <brk id="269" max="16383" man="1"/>
    <brk id="330" max="16383" man="1"/>
    <brk id="393" max="16383" man="1"/>
    <brk id="4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  <pageSetUpPr fitToPage="1"/>
  </sheetPr>
  <dimension ref="A1:L43"/>
  <sheetViews>
    <sheetView topLeftCell="A4" zoomScaleNormal="100" workbookViewId="0">
      <selection activeCell="F7" sqref="F7"/>
    </sheetView>
  </sheetViews>
  <sheetFormatPr defaultRowHeight="12.75" x14ac:dyDescent="0.2"/>
  <cols>
    <col min="1" max="1" width="12.28515625" customWidth="1"/>
    <col min="2" max="2" width="32.42578125" customWidth="1"/>
    <col min="3" max="3" width="14.42578125" customWidth="1"/>
    <col min="4" max="4" width="11.5703125" customWidth="1"/>
    <col min="5" max="6" width="16" style="82" customWidth="1"/>
    <col min="7" max="7" width="15.140625" customWidth="1"/>
    <col min="8" max="10" width="15" bestFit="1" customWidth="1"/>
    <col min="11" max="11" width="15.85546875" customWidth="1"/>
    <col min="12" max="1024" width="8.42578125" customWidth="1"/>
  </cols>
  <sheetData>
    <row r="1" spans="1:11" x14ac:dyDescent="0.2">
      <c r="E1" s="50"/>
      <c r="F1" s="50"/>
      <c r="G1" s="50"/>
      <c r="H1" s="50"/>
      <c r="I1" s="329"/>
      <c r="J1" s="617"/>
    </row>
    <row r="2" spans="1:11" ht="15.75" x14ac:dyDescent="0.25">
      <c r="A2" s="1033" t="s">
        <v>646</v>
      </c>
      <c r="B2" s="1033"/>
      <c r="C2" s="1033"/>
      <c r="D2" s="1033"/>
      <c r="E2" s="1033"/>
      <c r="F2" s="1033"/>
      <c r="G2" s="1033"/>
      <c r="H2" s="1033"/>
      <c r="I2" s="1033"/>
      <c r="J2" s="1033"/>
      <c r="K2" s="1033"/>
    </row>
    <row r="3" spans="1:11" ht="15.75" x14ac:dyDescent="0.25">
      <c r="A3" s="1033" t="s">
        <v>393</v>
      </c>
      <c r="B3" s="1033"/>
      <c r="C3" s="1033"/>
      <c r="D3" s="1033"/>
      <c r="E3" s="1033"/>
      <c r="F3" s="1033"/>
      <c r="G3" s="1033"/>
      <c r="H3" s="1033"/>
      <c r="I3" s="1033"/>
      <c r="J3" s="1033"/>
      <c r="K3" s="1033"/>
    </row>
    <row r="4" spans="1:11" ht="18.75" customHeight="1" x14ac:dyDescent="0.2">
      <c r="A4" s="1200" t="s">
        <v>368</v>
      </c>
      <c r="B4" s="1200"/>
      <c r="C4" s="1200"/>
      <c r="D4" s="1200"/>
      <c r="E4" s="1200"/>
      <c r="F4" s="1200"/>
      <c r="G4" s="1200"/>
      <c r="H4" s="1200"/>
      <c r="I4" s="1200"/>
      <c r="J4" s="1200"/>
      <c r="K4" s="1200"/>
    </row>
    <row r="5" spans="1:11" ht="16.5" thickBot="1" x14ac:dyDescent="0.3">
      <c r="A5" s="51"/>
      <c r="B5" s="51"/>
      <c r="C5" s="51"/>
      <c r="D5" s="51"/>
      <c r="E5" s="51"/>
      <c r="F5" s="615"/>
      <c r="K5" s="52" t="s">
        <v>1</v>
      </c>
    </row>
    <row r="6" spans="1:11" ht="13.5" thickBot="1" x14ac:dyDescent="0.25">
      <c r="A6" s="1201" t="s">
        <v>369</v>
      </c>
      <c r="B6" s="1201"/>
      <c r="C6" s="1201"/>
      <c r="D6" s="1201"/>
      <c r="E6" s="1201"/>
      <c r="F6" s="1201" t="s">
        <v>370</v>
      </c>
      <c r="G6" s="1067"/>
      <c r="H6" s="1204" t="s">
        <v>371</v>
      </c>
      <c r="I6" s="1205"/>
      <c r="J6" s="1202" t="s">
        <v>372</v>
      </c>
      <c r="K6" s="1203"/>
    </row>
    <row r="7" spans="1:11" ht="13.5" thickBot="1" x14ac:dyDescent="0.25">
      <c r="A7" s="1201"/>
      <c r="B7" s="1201"/>
      <c r="C7" s="1201"/>
      <c r="D7" s="1201"/>
      <c r="E7" s="1201"/>
      <c r="F7" s="631" t="s">
        <v>640</v>
      </c>
      <c r="G7" s="632" t="s">
        <v>661</v>
      </c>
      <c r="H7" s="631" t="s">
        <v>640</v>
      </c>
      <c r="I7" s="632" t="s">
        <v>661</v>
      </c>
      <c r="J7" s="631" t="s">
        <v>640</v>
      </c>
      <c r="K7" s="632" t="s">
        <v>661</v>
      </c>
    </row>
    <row r="8" spans="1:11" ht="24.95" customHeight="1" x14ac:dyDescent="0.2">
      <c r="A8" s="1206" t="s">
        <v>115</v>
      </c>
      <c r="B8" s="1206"/>
      <c r="C8" s="1206"/>
      <c r="D8" s="1206"/>
      <c r="E8" s="1206"/>
      <c r="F8" s="269">
        <f>SUM('Kiadások COFOG szerint'!C18)</f>
        <v>17091440</v>
      </c>
      <c r="G8" s="20">
        <f>SUM('Kiadások COFOG szerint'!F18)</f>
        <v>22881820</v>
      </c>
      <c r="H8" s="270">
        <f>SUM('Kiadások COFOG szerint'!C20)</f>
        <v>2720000</v>
      </c>
      <c r="I8" s="271">
        <f>SUM('Kiadások COFOG szerint'!F20)</f>
        <v>3100000</v>
      </c>
      <c r="J8" s="269">
        <f>SUM('Kiadások COFOG szerint'!C40)</f>
        <v>19347800</v>
      </c>
      <c r="K8" s="20">
        <f>SUM('Kiadások COFOG szerint'!F40)</f>
        <v>25112800</v>
      </c>
    </row>
    <row r="9" spans="1:11" ht="24.95" customHeight="1" x14ac:dyDescent="0.2">
      <c r="A9" s="1207" t="s">
        <v>121</v>
      </c>
      <c r="B9" s="1207"/>
      <c r="C9" s="1207"/>
      <c r="D9" s="1207"/>
      <c r="E9" s="1207"/>
      <c r="F9" s="269">
        <v>0</v>
      </c>
      <c r="G9" s="20">
        <v>0</v>
      </c>
      <c r="H9" s="270">
        <v>0</v>
      </c>
      <c r="I9" s="271">
        <v>0</v>
      </c>
      <c r="J9" s="269">
        <f>SUM('Kiadások COFOG szerint'!C62:C68)</f>
        <v>1080000</v>
      </c>
      <c r="K9" s="20">
        <f>SUM('Kiadások COFOG szerint'!F62:F68)</f>
        <v>1080000</v>
      </c>
    </row>
    <row r="10" spans="1:11" ht="24.95" customHeight="1" x14ac:dyDescent="0.2">
      <c r="A10" s="1207" t="s">
        <v>504</v>
      </c>
      <c r="B10" s="1207"/>
      <c r="C10" s="1207"/>
      <c r="D10" s="1207"/>
      <c r="E10" s="1207"/>
      <c r="F10" s="269">
        <v>0</v>
      </c>
      <c r="G10" s="20">
        <v>0</v>
      </c>
      <c r="H10" s="270"/>
      <c r="I10" s="271">
        <v>0</v>
      </c>
      <c r="J10" s="269">
        <f>SUM('Kiadások COFOG szerint'!C77:C84)</f>
        <v>3478000</v>
      </c>
      <c r="K10" s="20">
        <f>SUM('Kiadások COFOG szerint'!F79:F84)</f>
        <v>2424000</v>
      </c>
    </row>
    <row r="11" spans="1:11" ht="24.95" customHeight="1" x14ac:dyDescent="0.2">
      <c r="A11" s="1207" t="s">
        <v>285</v>
      </c>
      <c r="B11" s="1207"/>
      <c r="C11" s="1207"/>
      <c r="D11" s="1207"/>
      <c r="E11" s="1207"/>
      <c r="F11" s="269">
        <f>'Kiadások COFOG szerint'!C92</f>
        <v>300000</v>
      </c>
      <c r="G11" s="20">
        <f>SUM('Kiadások COFOG szerint'!F92)</f>
        <v>300000</v>
      </c>
      <c r="H11" s="270">
        <v>0</v>
      </c>
      <c r="I11" s="271">
        <v>0</v>
      </c>
      <c r="J11" s="269">
        <f>SUM('Kiadások COFOG szerint'!C94:C98)</f>
        <v>1837000</v>
      </c>
      <c r="K11" s="20">
        <f>SUM('Kiadások COFOG szerint'!F94:F98)</f>
        <v>1833000</v>
      </c>
    </row>
    <row r="12" spans="1:11" ht="24.95" customHeight="1" x14ac:dyDescent="0.2">
      <c r="A12" s="1207" t="s">
        <v>505</v>
      </c>
      <c r="B12" s="1207"/>
      <c r="C12" s="1207"/>
      <c r="D12" s="1207"/>
      <c r="E12" s="1207"/>
      <c r="F12" s="269">
        <f>SUM('Kiadások COFOG szerint'!C115)</f>
        <v>3200000</v>
      </c>
      <c r="G12" s="20">
        <f>SUM('Kiadások COFOG szerint'!F115)</f>
        <v>4740000</v>
      </c>
      <c r="H12" s="270">
        <f>SUM('Kiadások COFOG szerint'!C116)</f>
        <v>248000</v>
      </c>
      <c r="I12" s="271">
        <f>'Kiadások COFOG szerint'!F116</f>
        <v>312000</v>
      </c>
      <c r="J12" s="269">
        <f>SUM('Kiadások COFOG szerint'!C117:C118)</f>
        <v>0</v>
      </c>
      <c r="K12" s="20">
        <f>SUM('Kiadások COFOG szerint'!F117:F118)</f>
        <v>0</v>
      </c>
    </row>
    <row r="13" spans="1:11" ht="24.95" customHeight="1" x14ac:dyDescent="0.2">
      <c r="A13" s="1207" t="s">
        <v>506</v>
      </c>
      <c r="B13" s="1207"/>
      <c r="C13" s="1207"/>
      <c r="D13" s="1207"/>
      <c r="E13" s="1207"/>
      <c r="F13" s="269">
        <f>SUM('Kiadások COFOG szerint'!C125:C126)</f>
        <v>0</v>
      </c>
      <c r="G13" s="20">
        <f>SUM('Kiadások COFOG szerint'!F125:F126)</f>
        <v>0</v>
      </c>
      <c r="H13" s="270">
        <f>SUM('Kiadások COFOG szerint'!C127)</f>
        <v>0</v>
      </c>
      <c r="I13" s="271">
        <f>'Kiadások COFOG szerint'!F127</f>
        <v>0</v>
      </c>
      <c r="J13" s="269">
        <f>SUM('Kiadások COFOG szerint'!C128:C129)</f>
        <v>0</v>
      </c>
      <c r="K13" s="20">
        <f>'Kiadások COFOG szerint'!F128+'Kiadások COFOG szerint'!F129</f>
        <v>0</v>
      </c>
    </row>
    <row r="14" spans="1:11" ht="24.95" customHeight="1" x14ac:dyDescent="0.2">
      <c r="A14" s="1207" t="s">
        <v>287</v>
      </c>
      <c r="B14" s="1207"/>
      <c r="C14" s="1207"/>
      <c r="D14" s="1207"/>
      <c r="E14" s="1207"/>
      <c r="F14" s="269">
        <v>0</v>
      </c>
      <c r="G14" s="20">
        <v>0</v>
      </c>
      <c r="H14" s="270">
        <v>0</v>
      </c>
      <c r="I14" s="271">
        <v>0</v>
      </c>
      <c r="J14" s="269">
        <f>SUM('Kiadások COFOG szerint'!C134:C138)</f>
        <v>6205000</v>
      </c>
      <c r="K14" s="20">
        <f>'Kiadások COFOG szerint'!F134+'Kiadások COFOG szerint'!F135+'Kiadások COFOG szerint'!F136+'Kiadások COFOG szerint'!F138</f>
        <v>5630000</v>
      </c>
    </row>
    <row r="15" spans="1:11" ht="24.95" customHeight="1" x14ac:dyDescent="0.2">
      <c r="A15" s="1207" t="s">
        <v>134</v>
      </c>
      <c r="B15" s="1207"/>
      <c r="C15" s="1207"/>
      <c r="D15" s="1207"/>
      <c r="E15" s="1207"/>
      <c r="F15" s="269">
        <v>0</v>
      </c>
      <c r="G15" s="20">
        <v>0</v>
      </c>
      <c r="H15" s="270"/>
      <c r="I15" s="271">
        <v>0</v>
      </c>
      <c r="J15" s="269"/>
      <c r="K15" s="20">
        <v>0</v>
      </c>
    </row>
    <row r="16" spans="1:11" ht="24.95" customHeight="1" x14ac:dyDescent="0.2">
      <c r="A16" s="1207" t="s">
        <v>288</v>
      </c>
      <c r="B16" s="1207"/>
      <c r="C16" s="1207"/>
      <c r="D16" s="1207"/>
      <c r="E16" s="1207"/>
      <c r="F16" s="269">
        <v>0</v>
      </c>
      <c r="G16" s="20">
        <v>0</v>
      </c>
      <c r="H16" s="270">
        <v>0</v>
      </c>
      <c r="I16" s="271">
        <v>0</v>
      </c>
      <c r="J16" s="269">
        <f>SUM('Kiadások COFOG szerint'!C159:C162)</f>
        <v>9010000</v>
      </c>
      <c r="K16" s="20">
        <f>'Kiadások COFOG szerint'!F163</f>
        <v>6870000</v>
      </c>
    </row>
    <row r="17" spans="1:12" ht="24.95" customHeight="1" x14ac:dyDescent="0.2">
      <c r="A17" s="1207" t="s">
        <v>289</v>
      </c>
      <c r="B17" s="1207"/>
      <c r="C17" s="1207"/>
      <c r="D17" s="1207"/>
      <c r="E17" s="1207"/>
      <c r="F17" s="269">
        <f>SUM('Kiadások COFOG szerint'!C167:C171)</f>
        <v>5650000</v>
      </c>
      <c r="G17" s="20">
        <f>SUM('Kiadások COFOG szerint'!F167:F171)</f>
        <v>3732000</v>
      </c>
      <c r="H17" s="270">
        <f>'Kiadások COFOG szerint'!C172</f>
        <v>880000</v>
      </c>
      <c r="I17" s="271">
        <f>'Kiadások COFOG szerint'!F172</f>
        <v>820000</v>
      </c>
      <c r="J17" s="269">
        <f>SUM('Kiadások COFOG szerint'!C174:C183)</f>
        <v>6671000</v>
      </c>
      <c r="K17" s="20">
        <f>SUM('Kiadások COFOG szerint'!F174:F183)</f>
        <v>7315600</v>
      </c>
    </row>
    <row r="18" spans="1:12" ht="24.95" customHeight="1" x14ac:dyDescent="0.2">
      <c r="A18" s="1207" t="s">
        <v>135</v>
      </c>
      <c r="B18" s="1207"/>
      <c r="C18" s="1207"/>
      <c r="D18" s="1207"/>
      <c r="E18" s="1207"/>
      <c r="F18" s="269">
        <f>SUM('Kiadások COFOG szerint'!C193:C200)</f>
        <v>7590220</v>
      </c>
      <c r="G18" s="20">
        <f>SUM('Kiadások COFOG szerint'!F193:F200)</f>
        <v>9240000</v>
      </c>
      <c r="H18" s="270">
        <f>SUM('Kiadások COFOG szerint'!C201:C201)</f>
        <v>1780000</v>
      </c>
      <c r="I18" s="271">
        <f>SUM('Kiadások COFOG szerint'!F201:F201)</f>
        <v>1300000</v>
      </c>
      <c r="J18" s="269">
        <f>SUM('Kiadások COFOG szerint'!C202:C210)</f>
        <v>965000</v>
      </c>
      <c r="K18" s="20">
        <f>SUM('Kiadások COFOG szerint'!F202:F210)</f>
        <v>799400</v>
      </c>
    </row>
    <row r="19" spans="1:12" ht="24.95" customHeight="1" x14ac:dyDescent="0.2">
      <c r="A19" s="1207" t="s">
        <v>435</v>
      </c>
      <c r="B19" s="1207"/>
      <c r="C19" s="1207"/>
      <c r="D19" s="1207"/>
      <c r="E19" s="1207"/>
      <c r="F19" s="269">
        <v>0</v>
      </c>
      <c r="G19" s="20">
        <v>0</v>
      </c>
      <c r="H19" s="270">
        <v>0</v>
      </c>
      <c r="I19" s="271">
        <v>0</v>
      </c>
      <c r="J19" s="269">
        <f>SUM('Kiadások COFOG szerint'!C219)</f>
        <v>90000</v>
      </c>
      <c r="K19" s="20">
        <f>SUM('Kiadások COFOG szerint'!F219)</f>
        <v>96000</v>
      </c>
    </row>
    <row r="20" spans="1:12" ht="24.95" customHeight="1" x14ac:dyDescent="0.2">
      <c r="A20" s="1207" t="s">
        <v>438</v>
      </c>
      <c r="B20" s="1207"/>
      <c r="C20" s="1207"/>
      <c r="D20" s="1207"/>
      <c r="E20" s="1207"/>
      <c r="F20" s="269">
        <f>SUM('Kiadások COFOG szerint'!C230)</f>
        <v>0</v>
      </c>
      <c r="G20" s="20">
        <f>'Kiadások COFOG szerint'!F230</f>
        <v>0</v>
      </c>
      <c r="H20" s="270">
        <f>SUM('Kiadások COFOG szerint'!C231)</f>
        <v>0</v>
      </c>
      <c r="I20" s="271">
        <f>'Kiadások COFOG szerint'!F231</f>
        <v>0</v>
      </c>
      <c r="J20" s="269">
        <f>SUM('Kiadások COFOG szerint'!C233:C235)</f>
        <v>0</v>
      </c>
      <c r="K20" s="20">
        <f>SUM('Kiadások COFOG szerint'!F233:F235)</f>
        <v>0</v>
      </c>
    </row>
    <row r="21" spans="1:12" ht="24.95" customHeight="1" x14ac:dyDescent="0.2">
      <c r="A21" s="1207" t="s">
        <v>137</v>
      </c>
      <c r="B21" s="1207"/>
      <c r="C21" s="1207"/>
      <c r="D21" s="1207"/>
      <c r="E21" s="1207"/>
      <c r="F21" s="269">
        <f>SUM('Kiadások COFOG szerint'!C247:C250)</f>
        <v>5300000</v>
      </c>
      <c r="G21" s="20">
        <f>SUM('Kiadások COFOG szerint'!F247:F250)</f>
        <v>6162000</v>
      </c>
      <c r="H21" s="270">
        <f>SUM('Kiadások COFOG szerint'!C251)</f>
        <v>825000</v>
      </c>
      <c r="I21" s="271">
        <f>'Kiadások COFOG szerint'!F251</f>
        <v>880000</v>
      </c>
      <c r="J21" s="269">
        <f>SUM('Kiadások COFOG szerint'!C252:C258)</f>
        <v>15860000</v>
      </c>
      <c r="K21" s="20">
        <f>SUM('Kiadások COFOG szerint'!F252:F258)</f>
        <v>14510000</v>
      </c>
    </row>
    <row r="22" spans="1:12" ht="24.95" customHeight="1" x14ac:dyDescent="0.2">
      <c r="A22" s="1207" t="s">
        <v>458</v>
      </c>
      <c r="B22" s="1207"/>
      <c r="C22" s="1207"/>
      <c r="D22" s="1207"/>
      <c r="E22" s="1207"/>
      <c r="F22" s="269">
        <v>0</v>
      </c>
      <c r="G22" s="20">
        <v>0</v>
      </c>
      <c r="H22" s="270">
        <v>0</v>
      </c>
      <c r="I22" s="271">
        <v>0</v>
      </c>
      <c r="J22" s="269">
        <f>SUM('Kiadások COFOG szerint'!C277)</f>
        <v>1524000</v>
      </c>
      <c r="K22" s="20">
        <f>'Kiadások COFOG szerint'!F277</f>
        <v>1651000</v>
      </c>
    </row>
    <row r="23" spans="1:12" ht="24.95" customHeight="1" x14ac:dyDescent="0.2">
      <c r="A23" s="1207" t="s">
        <v>301</v>
      </c>
      <c r="B23" s="1207"/>
      <c r="C23" s="1207"/>
      <c r="D23" s="1207"/>
      <c r="E23" s="1207"/>
      <c r="F23" s="269">
        <v>0</v>
      </c>
      <c r="G23" s="20">
        <v>0</v>
      </c>
      <c r="H23" s="270">
        <v>0</v>
      </c>
      <c r="I23" s="271">
        <v>0</v>
      </c>
      <c r="J23" s="269">
        <v>0</v>
      </c>
      <c r="K23" s="20">
        <f>'Kiadások COFOG szerint'!F283</f>
        <v>0</v>
      </c>
    </row>
    <row r="24" spans="1:12" ht="24.95" customHeight="1" x14ac:dyDescent="0.2">
      <c r="A24" s="1207" t="s">
        <v>507</v>
      </c>
      <c r="B24" s="1207"/>
      <c r="C24" s="1207"/>
      <c r="D24" s="1207"/>
      <c r="E24" s="1207"/>
      <c r="F24" s="269">
        <f>SUM('Kiadások COFOG szerint'!C292:C294)</f>
        <v>2027000</v>
      </c>
      <c r="G24" s="20">
        <f>SUM('Kiadások COFOG szerint'!F292:F294)</f>
        <v>62000</v>
      </c>
      <c r="H24" s="270">
        <f>SUM('Kiadások COFOG szerint'!C296)</f>
        <v>315000</v>
      </c>
      <c r="I24" s="271">
        <f>SUM('Kiadások COFOG szerint'!F296)</f>
        <v>300000</v>
      </c>
      <c r="J24" s="269">
        <f>SUM('Kiadások COFOG szerint'!C297)</f>
        <v>0</v>
      </c>
      <c r="K24" s="20">
        <f>SUM('Kiadások COFOG szerint'!F297)</f>
        <v>0</v>
      </c>
    </row>
    <row r="25" spans="1:12" ht="24.95" customHeight="1" thickBot="1" x14ac:dyDescent="0.25">
      <c r="A25" s="1208" t="s">
        <v>373</v>
      </c>
      <c r="B25" s="1208"/>
      <c r="C25" s="1208"/>
      <c r="D25" s="1208"/>
      <c r="E25" s="1208"/>
      <c r="F25" s="272">
        <v>0</v>
      </c>
      <c r="G25" s="30">
        <v>0</v>
      </c>
      <c r="H25" s="273">
        <v>0</v>
      </c>
      <c r="I25" s="274">
        <v>0</v>
      </c>
      <c r="J25" s="272">
        <f>SUM('Kiadások COFOG szerint'!C303:C306)</f>
        <v>0</v>
      </c>
      <c r="K25" s="30">
        <f>SUM('Kiadások COFOG szerint'!F303:F306)</f>
        <v>0</v>
      </c>
    </row>
    <row r="26" spans="1:12" ht="27.75" customHeight="1" thickBot="1" x14ac:dyDescent="0.25">
      <c r="A26" s="1209" t="s">
        <v>374</v>
      </c>
      <c r="B26" s="1209"/>
      <c r="C26" s="1209"/>
      <c r="D26" s="1209"/>
      <c r="E26" s="1210"/>
      <c r="F26" s="634">
        <f>SUM(F8:F25)</f>
        <v>41158660</v>
      </c>
      <c r="G26" s="634">
        <f t="shared" ref="G26:K26" si="0">SUM(G8:G25)</f>
        <v>47117820</v>
      </c>
      <c r="H26" s="634">
        <f t="shared" si="0"/>
        <v>6768000</v>
      </c>
      <c r="I26" s="634">
        <f t="shared" si="0"/>
        <v>6712000</v>
      </c>
      <c r="J26" s="634">
        <f t="shared" si="0"/>
        <v>66067800</v>
      </c>
      <c r="K26" s="634">
        <f t="shared" si="0"/>
        <v>67321800</v>
      </c>
    </row>
    <row r="30" spans="1:12" x14ac:dyDescent="0.2">
      <c r="G30" s="275"/>
      <c r="H30" s="275"/>
      <c r="I30" s="275"/>
      <c r="J30" s="275"/>
      <c r="K30" s="275"/>
      <c r="L30" s="49"/>
    </row>
    <row r="31" spans="1:12" x14ac:dyDescent="0.2">
      <c r="G31" s="275"/>
      <c r="H31" s="275"/>
      <c r="I31" s="275"/>
      <c r="J31" s="275"/>
      <c r="K31" s="275"/>
      <c r="L31" s="49"/>
    </row>
    <row r="32" spans="1:12" x14ac:dyDescent="0.2">
      <c r="G32" s="275"/>
      <c r="H32" s="275"/>
      <c r="I32" s="275"/>
      <c r="J32" s="275"/>
      <c r="K32" s="275"/>
      <c r="L32" s="49"/>
    </row>
    <row r="33" spans="7:12" x14ac:dyDescent="0.2">
      <c r="G33" s="275"/>
      <c r="H33" s="275"/>
      <c r="I33" s="275"/>
      <c r="J33" s="275"/>
      <c r="K33" s="275"/>
      <c r="L33" s="49"/>
    </row>
    <row r="34" spans="7:12" x14ac:dyDescent="0.2">
      <c r="G34" s="275"/>
      <c r="H34" s="275"/>
      <c r="I34" s="275"/>
      <c r="J34" s="275"/>
      <c r="K34" s="275"/>
      <c r="L34" s="49"/>
    </row>
    <row r="35" spans="7:12" x14ac:dyDescent="0.2">
      <c r="G35" s="275"/>
      <c r="H35" s="275"/>
      <c r="I35" s="275"/>
      <c r="J35" s="275"/>
      <c r="K35" s="275"/>
      <c r="L35" s="49"/>
    </row>
    <row r="36" spans="7:12" x14ac:dyDescent="0.2">
      <c r="G36" s="275"/>
      <c r="H36" s="275"/>
      <c r="I36" s="275"/>
      <c r="J36" s="275"/>
      <c r="K36" s="275"/>
      <c r="L36" s="49"/>
    </row>
    <row r="37" spans="7:12" x14ac:dyDescent="0.2">
      <c r="G37" s="275"/>
      <c r="H37" s="275"/>
      <c r="I37" s="275"/>
      <c r="J37" s="275"/>
      <c r="K37" s="275"/>
      <c r="L37" s="49"/>
    </row>
    <row r="38" spans="7:12" x14ac:dyDescent="0.2">
      <c r="G38" s="275"/>
      <c r="H38" s="275"/>
      <c r="I38" s="275"/>
      <c r="J38" s="275"/>
      <c r="K38" s="275"/>
      <c r="L38" s="49"/>
    </row>
    <row r="39" spans="7:12" x14ac:dyDescent="0.2">
      <c r="G39" s="275"/>
      <c r="H39" s="275"/>
      <c r="I39" s="275"/>
      <c r="J39" s="275"/>
      <c r="K39" s="275"/>
      <c r="L39" s="49"/>
    </row>
    <row r="40" spans="7:12" x14ac:dyDescent="0.2">
      <c r="G40" s="275"/>
      <c r="H40" s="275"/>
      <c r="I40" s="275"/>
      <c r="J40" s="275"/>
      <c r="K40" s="275"/>
      <c r="L40" s="49"/>
    </row>
    <row r="41" spans="7:12" x14ac:dyDescent="0.2">
      <c r="G41" s="275"/>
      <c r="H41" s="275"/>
      <c r="I41" s="275"/>
      <c r="J41" s="275"/>
      <c r="K41" s="275"/>
      <c r="L41" s="49"/>
    </row>
    <row r="42" spans="7:12" x14ac:dyDescent="0.2">
      <c r="G42" s="276"/>
      <c r="H42" s="276"/>
      <c r="I42" s="276"/>
      <c r="J42" s="276"/>
      <c r="K42" s="276"/>
      <c r="L42" s="49"/>
    </row>
    <row r="43" spans="7:12" x14ac:dyDescent="0.2">
      <c r="G43" s="49"/>
      <c r="H43" s="49"/>
      <c r="I43" s="49"/>
      <c r="J43" s="49"/>
      <c r="K43" s="49"/>
      <c r="L43" s="49"/>
    </row>
  </sheetData>
  <mergeCells count="26">
    <mergeCell ref="A22:E22"/>
    <mergeCell ref="A21:E21"/>
    <mergeCell ref="A25:E25"/>
    <mergeCell ref="A26:E26"/>
    <mergeCell ref="A15:E15"/>
    <mergeCell ref="A16:E16"/>
    <mergeCell ref="A17:E17"/>
    <mergeCell ref="A18:E18"/>
    <mergeCell ref="A23:E23"/>
    <mergeCell ref="A19:E19"/>
    <mergeCell ref="A20:E20"/>
    <mergeCell ref="A24:E24"/>
    <mergeCell ref="A8:E8"/>
    <mergeCell ref="A9:E9"/>
    <mergeCell ref="A11:E11"/>
    <mergeCell ref="A14:E14"/>
    <mergeCell ref="A10:E10"/>
    <mergeCell ref="A12:E12"/>
    <mergeCell ref="A13:E13"/>
    <mergeCell ref="A2:K2"/>
    <mergeCell ref="A3:K3"/>
    <mergeCell ref="A4:K4"/>
    <mergeCell ref="A6:E7"/>
    <mergeCell ref="F6:G6"/>
    <mergeCell ref="J6:K6"/>
    <mergeCell ref="H6:I6"/>
  </mergeCells>
  <pageMargins left="0.59055118110236227" right="0.59055118110236227" top="0.98425196850393704" bottom="0.59055118110236227" header="0.51181102362204722" footer="0.51181102362204722"/>
  <pageSetup paperSize="9" scale="67" firstPageNumber="0" orientation="landscape" verticalDpi="300" r:id="rId1"/>
  <colBreaks count="1" manualBreakCount="1">
    <brk id="11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9"/>
  <sheetViews>
    <sheetView view="pageBreakPreview" zoomScale="96" zoomScaleNormal="100" zoomScaleSheetLayoutView="96" workbookViewId="0">
      <selection activeCell="A6" sqref="A6"/>
    </sheetView>
  </sheetViews>
  <sheetFormatPr defaultRowHeight="12.75" x14ac:dyDescent="0.2"/>
  <cols>
    <col min="2" max="2" width="61.5703125" customWidth="1"/>
    <col min="3" max="3" width="17.85546875" customWidth="1"/>
  </cols>
  <sheetData>
    <row r="1" spans="1:3" x14ac:dyDescent="0.2">
      <c r="C1" s="592" t="s">
        <v>534</v>
      </c>
    </row>
    <row r="2" spans="1:3" ht="15.75" x14ac:dyDescent="0.25">
      <c r="B2" s="593" t="s">
        <v>646</v>
      </c>
    </row>
    <row r="3" spans="1:3" ht="15.75" x14ac:dyDescent="0.25">
      <c r="B3" s="593" t="s">
        <v>393</v>
      </c>
    </row>
    <row r="5" spans="1:3" x14ac:dyDescent="0.2">
      <c r="A5" s="1211" t="s">
        <v>736</v>
      </c>
      <c r="B5" s="1211"/>
      <c r="C5" s="1211"/>
    </row>
    <row r="6" spans="1:3" x14ac:dyDescent="0.2">
      <c r="A6" s="594"/>
      <c r="B6" s="594"/>
      <c r="C6" s="594"/>
    </row>
    <row r="7" spans="1:3" ht="13.5" thickBot="1" x14ac:dyDescent="0.25"/>
    <row r="8" spans="1:3" x14ac:dyDescent="0.2">
      <c r="B8" s="595" t="s">
        <v>535</v>
      </c>
      <c r="C8" s="596">
        <v>92504100</v>
      </c>
    </row>
    <row r="9" spans="1:3" x14ac:dyDescent="0.2">
      <c r="B9" s="1015" t="s">
        <v>734</v>
      </c>
      <c r="C9" s="598">
        <v>106304720</v>
      </c>
    </row>
    <row r="10" spans="1:3" x14ac:dyDescent="0.2">
      <c r="B10" s="1015" t="s">
        <v>542</v>
      </c>
      <c r="C10" s="1016">
        <v>48826937</v>
      </c>
    </row>
    <row r="11" spans="1:3" x14ac:dyDescent="0.2">
      <c r="B11" s="1015" t="s">
        <v>543</v>
      </c>
      <c r="C11" s="1016">
        <v>3553131</v>
      </c>
    </row>
    <row r="12" spans="1:3" x14ac:dyDescent="0.2">
      <c r="B12" s="1015" t="s">
        <v>544</v>
      </c>
      <c r="C12" s="1016">
        <v>0</v>
      </c>
    </row>
    <row r="13" spans="1:3" x14ac:dyDescent="0.2">
      <c r="B13" s="597" t="s">
        <v>536</v>
      </c>
      <c r="C13" s="598">
        <v>0</v>
      </c>
    </row>
    <row r="14" spans="1:3" x14ac:dyDescent="0.2">
      <c r="B14" s="597" t="s">
        <v>537</v>
      </c>
      <c r="C14" s="598">
        <v>0</v>
      </c>
    </row>
    <row r="15" spans="1:3" ht="13.5" thickBot="1" x14ac:dyDescent="0.25">
      <c r="B15" s="607" t="s">
        <v>541</v>
      </c>
      <c r="C15" s="608">
        <v>0</v>
      </c>
    </row>
    <row r="16" spans="1:3" ht="13.5" thickBot="1" x14ac:dyDescent="0.25">
      <c r="B16" s="599" t="s">
        <v>538</v>
      </c>
      <c r="C16" s="600">
        <f>SUM(C8:C15)</f>
        <v>251188888</v>
      </c>
    </row>
    <row r="18" spans="1:8" ht="13.5" thickBot="1" x14ac:dyDescent="0.25"/>
    <row r="19" spans="1:8" ht="18.75" thickBot="1" x14ac:dyDescent="0.5">
      <c r="A19" s="1212" t="s">
        <v>539</v>
      </c>
      <c r="B19" s="1213"/>
      <c r="C19" s="1214"/>
    </row>
    <row r="20" spans="1:8" ht="22.5" x14ac:dyDescent="0.6">
      <c r="A20" s="601"/>
      <c r="B20" s="602" t="s">
        <v>713</v>
      </c>
      <c r="C20" s="289">
        <v>106304720</v>
      </c>
    </row>
    <row r="21" spans="1:8" ht="22.5" x14ac:dyDescent="0.6">
      <c r="A21" s="603"/>
      <c r="B21" s="890" t="s">
        <v>525</v>
      </c>
      <c r="C21" s="205">
        <v>48529410</v>
      </c>
      <c r="E21" s="123"/>
      <c r="F21" s="123"/>
      <c r="G21" s="123"/>
      <c r="H21" s="123"/>
    </row>
    <row r="22" spans="1:8" ht="22.5" x14ac:dyDescent="0.6">
      <c r="A22" s="603"/>
      <c r="B22" s="604" t="s">
        <v>630</v>
      </c>
      <c r="C22" s="578">
        <v>3553131</v>
      </c>
      <c r="E22" s="123"/>
      <c r="F22" s="123"/>
      <c r="G22" s="123"/>
      <c r="H22" s="123"/>
    </row>
    <row r="23" spans="1:8" ht="22.5" x14ac:dyDescent="0.6">
      <c r="A23" s="603"/>
      <c r="B23" s="604" t="s">
        <v>714</v>
      </c>
      <c r="C23" s="309">
        <v>10000000</v>
      </c>
      <c r="E23" s="123"/>
      <c r="F23" s="123"/>
      <c r="G23" s="123"/>
      <c r="H23" s="123"/>
    </row>
    <row r="24" spans="1:8" ht="22.5" x14ac:dyDescent="0.6">
      <c r="A24" s="603"/>
      <c r="B24" s="604" t="s">
        <v>723</v>
      </c>
      <c r="C24" s="309">
        <v>1500000</v>
      </c>
      <c r="E24" s="123"/>
      <c r="F24" s="123"/>
      <c r="G24" s="123"/>
      <c r="H24" s="123"/>
    </row>
    <row r="25" spans="1:8" ht="22.5" x14ac:dyDescent="0.6">
      <c r="A25" s="603"/>
      <c r="B25" s="604" t="s">
        <v>716</v>
      </c>
      <c r="C25" s="309">
        <v>6500000</v>
      </c>
      <c r="E25" s="123"/>
      <c r="F25" s="123"/>
      <c r="G25" s="123"/>
      <c r="H25" s="123"/>
    </row>
    <row r="26" spans="1:8" ht="22.5" x14ac:dyDescent="0.6">
      <c r="A26" s="605"/>
      <c r="B26" s="604" t="s">
        <v>733</v>
      </c>
      <c r="C26" s="309">
        <v>167640</v>
      </c>
      <c r="E26" s="123"/>
      <c r="F26" s="123"/>
      <c r="G26" s="123"/>
      <c r="H26" s="123"/>
    </row>
    <row r="27" spans="1:8" ht="22.5" x14ac:dyDescent="0.6">
      <c r="A27" s="605"/>
      <c r="B27" s="604" t="s">
        <v>735</v>
      </c>
      <c r="C27" s="309">
        <v>340200</v>
      </c>
      <c r="E27" s="123"/>
      <c r="F27" s="123"/>
      <c r="G27" s="123"/>
      <c r="H27" s="123"/>
    </row>
    <row r="28" spans="1:8" ht="23.25" thickBot="1" x14ac:dyDescent="0.65">
      <c r="A28" s="605"/>
      <c r="B28" s="891" t="s">
        <v>631</v>
      </c>
      <c r="C28" s="309">
        <v>256448</v>
      </c>
      <c r="E28" s="123"/>
      <c r="F28" s="123"/>
      <c r="G28" s="123"/>
      <c r="H28" s="123"/>
    </row>
    <row r="29" spans="1:8" ht="18.75" thickBot="1" x14ac:dyDescent="0.5">
      <c r="A29" s="1215" t="s">
        <v>540</v>
      </c>
      <c r="B29" s="1216"/>
      <c r="C29" s="606">
        <f>SUM(C20:C28)</f>
        <v>177151549</v>
      </c>
    </row>
  </sheetData>
  <mergeCells count="3">
    <mergeCell ref="A5:C5"/>
    <mergeCell ref="A19:C19"/>
    <mergeCell ref="A29:B29"/>
  </mergeCells>
  <phoneticPr fontId="33" type="noConversion"/>
  <pageMargins left="0.59055118110236227" right="0.59055118110236227" top="0.98425196850393704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8</vt:i4>
      </vt:variant>
    </vt:vector>
  </HeadingPairs>
  <TitlesOfParts>
    <vt:vector size="16" baseType="lpstr">
      <vt:lpstr>Mérleg(önkormányzat 2020)</vt:lpstr>
      <vt:lpstr>Bevételek(önkormányzat 2020</vt:lpstr>
      <vt:lpstr>Bevételek COFOG szerint 2020</vt:lpstr>
      <vt:lpstr>Kiadások(önkormányzat 2020)</vt:lpstr>
      <vt:lpstr>Kiadások COFOG szerint</vt:lpstr>
      <vt:lpstr>Kiadások részletes COFOG</vt:lpstr>
      <vt:lpstr>Kiadások COFOG összesítő</vt:lpstr>
      <vt:lpstr>Pénzmaradvány 2020</vt:lpstr>
      <vt:lpstr>'Bevételek COFOG szerint 2020'!Nyomtatási_terület</vt:lpstr>
      <vt:lpstr>'Bevételek(önkormányzat 2020'!Nyomtatási_terület</vt:lpstr>
      <vt:lpstr>'Kiadások COFOG összesítő'!Nyomtatási_terület</vt:lpstr>
      <vt:lpstr>'Kiadások COFOG szerint'!Nyomtatási_terület</vt:lpstr>
      <vt:lpstr>'Kiadások részletes COFOG'!Nyomtatási_terület</vt:lpstr>
      <vt:lpstr>'Kiadások(önkormányzat 2020)'!Nyomtatási_terület</vt:lpstr>
      <vt:lpstr>'Mérleg(önkormányzat 2020)'!Nyomtatási_terület</vt:lpstr>
      <vt:lpstr>'Pénzmaradvány 2020'!Nyomtatási_terület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Csév2</cp:lastModifiedBy>
  <cp:revision>7</cp:revision>
  <cp:lastPrinted>2022-02-02T09:26:23Z</cp:lastPrinted>
  <dcterms:created xsi:type="dcterms:W3CDTF">2016-01-02T07:45:43Z</dcterms:created>
  <dcterms:modified xsi:type="dcterms:W3CDTF">2022-02-02T10:26:31Z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