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kument\word\Anikó\A testület\képviselő testület\előterjesztések\2022\2022.02.01\"/>
    </mc:Choice>
  </mc:AlternateContent>
  <xr:revisionPtr revIDLastSave="0" documentId="13_ncr:1_{E461EE8D-71E2-48C6-9A40-BDB4FD1893BF}" xr6:coauthVersionLast="47" xr6:coauthVersionMax="47" xr10:uidLastSave="{00000000-0000-0000-0000-000000000000}"/>
  <workbookProtection workbookAlgorithmName="SHA-512" workbookHashValue="ooA1gXjozSRwbA5FA/cbqsr/WxWj8TNk3Rx3yYAdrQsTBwAYA10JBbj1GtnNyjzx6k/xlnIXDDSRC4qtdYWz9Q==" workbookSaltValue="gPaIEoO6YJzKq8HVMHaz5w==" workbookSpinCount="100000" lockStructure="1"/>
  <bookViews>
    <workbookView xWindow="-120" yWindow="-120" windowWidth="19440" windowHeight="15000" xr2:uid="{00000000-000D-0000-FFFF-FFFF00000000}"/>
  </bookViews>
  <sheets>
    <sheet name="Mérleg(Óvoda 2020)" sheetId="4" r:id="rId1"/>
    <sheet name="Bevételek(Óvoda 2020)" sheetId="7" r:id="rId2"/>
    <sheet name="Bevételek COFOG" sheetId="2" state="hidden" r:id="rId3"/>
    <sheet name="Kiadások(Óvoda 2020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szerint'!$A$1:$A$96</definedName>
    <definedName name="_xlnm.Print_Area" localSheetId="2">'Bevételek COFOG'!$A$1:$G$30</definedName>
    <definedName name="_xlnm.Print_Area" localSheetId="1">'Bevételek(Óvoda 2020)'!$A$1:$G$20</definedName>
    <definedName name="_xlnm.Print_Area" localSheetId="4">'Kiadások COFOG szerint'!$A$1:$F$96</definedName>
    <definedName name="_xlnm.Print_Area" localSheetId="3">'Kiadások(Óvoda 2020)'!$A$1:$G$47</definedName>
    <definedName name="_xlnm.Print_Area" localSheetId="0">'Mérleg(Óvoda 2020)'!$A$1:$L$29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8" l="1"/>
  <c r="G28" i="8"/>
  <c r="G26" i="8"/>
  <c r="J13" i="2" l="1"/>
  <c r="G158" i="8"/>
  <c r="F92" i="5"/>
  <c r="F91" i="5"/>
  <c r="G65" i="8"/>
  <c r="F37" i="5"/>
  <c r="F36" i="5"/>
  <c r="F38" i="5" s="1"/>
  <c r="E10" i="3"/>
  <c r="C10" i="3"/>
  <c r="G98" i="8"/>
  <c r="G100" i="8"/>
  <c r="G99" i="8"/>
  <c r="G93" i="8"/>
  <c r="G91" i="8"/>
  <c r="G88" i="8"/>
  <c r="G89" i="8"/>
  <c r="G87" i="8"/>
  <c r="G85" i="8"/>
  <c r="G83" i="8"/>
  <c r="J81" i="8"/>
  <c r="J79" i="8"/>
  <c r="J80" i="8"/>
  <c r="G76" i="8"/>
  <c r="G75" i="8" s="1"/>
  <c r="G73" i="8"/>
  <c r="F11" i="5"/>
  <c r="D11" i="5" s="1"/>
  <c r="D10" i="3" s="1"/>
  <c r="F85" i="5"/>
  <c r="D85" i="5" s="1"/>
  <c r="F20" i="5"/>
  <c r="F19" i="5"/>
  <c r="G23" i="8"/>
  <c r="G21" i="8"/>
  <c r="G54" i="8"/>
  <c r="G52" i="8"/>
  <c r="E63" i="8"/>
  <c r="F10" i="3" l="1"/>
  <c r="G148" i="8"/>
  <c r="G150" i="8"/>
  <c r="E156" i="8"/>
  <c r="F77" i="5"/>
  <c r="F20" i="3" s="1"/>
  <c r="F76" i="5"/>
  <c r="E130" i="8"/>
  <c r="E31" i="8"/>
  <c r="G33" i="8" l="1"/>
  <c r="G58" i="8"/>
  <c r="G57" i="8"/>
  <c r="G41" i="8"/>
  <c r="G42" i="8"/>
  <c r="G43" i="8"/>
  <c r="G44" i="8"/>
  <c r="G45" i="8"/>
  <c r="G46" i="8"/>
  <c r="G40" i="8"/>
  <c r="G39" i="8"/>
  <c r="G15" i="8"/>
  <c r="G14" i="8"/>
  <c r="H38" i="8" l="1"/>
  <c r="G139" i="8" l="1"/>
  <c r="G140" i="8"/>
  <c r="G141" i="8"/>
  <c r="G142" i="8"/>
  <c r="G143" i="8"/>
  <c r="G138" i="8"/>
  <c r="G118" i="8"/>
  <c r="G117" i="8"/>
  <c r="G6" i="8"/>
  <c r="G7" i="8"/>
  <c r="G9" i="8"/>
  <c r="G10" i="8"/>
  <c r="G11" i="8"/>
  <c r="G12" i="8"/>
  <c r="G13" i="8"/>
  <c r="G8" i="8"/>
  <c r="H137" i="8" l="1"/>
  <c r="H5" i="8"/>
  <c r="H116" i="8"/>
  <c r="F10" i="2" l="1"/>
  <c r="F12" i="7"/>
  <c r="F14" i="7"/>
  <c r="F15" i="7"/>
  <c r="D23" i="2"/>
  <c r="D24" i="2"/>
  <c r="D22" i="2"/>
  <c r="D12" i="2"/>
  <c r="D11" i="2"/>
  <c r="E11" i="2"/>
  <c r="E12" i="2"/>
  <c r="E9" i="2"/>
  <c r="F13" i="7" l="1"/>
  <c r="D20" i="3"/>
  <c r="E10" i="2" l="1"/>
  <c r="D9" i="2"/>
  <c r="J109" i="8" l="1"/>
  <c r="F17" i="4"/>
  <c r="G108" i="8"/>
  <c r="G110" i="8" l="1"/>
  <c r="G111" i="8" s="1"/>
  <c r="J91" i="8"/>
  <c r="G101" i="8" l="1"/>
  <c r="F56" i="5" s="1"/>
  <c r="J100" i="8"/>
  <c r="J98" i="8"/>
  <c r="J94" i="8"/>
  <c r="J96" i="8"/>
  <c r="J93" i="8"/>
  <c r="J87" i="8"/>
  <c r="J88" i="8"/>
  <c r="J89" i="8"/>
  <c r="F50" i="5"/>
  <c r="J83" i="8"/>
  <c r="J78" i="8"/>
  <c r="J73" i="8"/>
  <c r="F11" i="4"/>
  <c r="F9" i="4"/>
  <c r="J76" i="8"/>
  <c r="G121" i="8"/>
  <c r="F72" i="5" s="1"/>
  <c r="G147" i="8"/>
  <c r="G20" i="8"/>
  <c r="F14" i="5" s="1"/>
  <c r="D14" i="5" s="1"/>
  <c r="D34" i="3"/>
  <c r="D35" i="3" s="1"/>
  <c r="C34" i="3"/>
  <c r="C35" i="3" s="1"/>
  <c r="F89" i="5"/>
  <c r="F86" i="5"/>
  <c r="F84" i="5"/>
  <c r="F83" i="5"/>
  <c r="F74" i="5"/>
  <c r="F71" i="5"/>
  <c r="F70" i="5"/>
  <c r="F69" i="5"/>
  <c r="F63" i="5"/>
  <c r="E63" i="5" s="1"/>
  <c r="F62" i="5"/>
  <c r="E62" i="5" s="1"/>
  <c r="F60" i="5"/>
  <c r="F61" i="5" s="1"/>
  <c r="F58" i="5"/>
  <c r="F43" i="5"/>
  <c r="F44" i="5" s="1"/>
  <c r="F19" i="3" s="1"/>
  <c r="F34" i="5"/>
  <c r="F29" i="5"/>
  <c r="F30" i="5"/>
  <c r="F28" i="5"/>
  <c r="F11" i="3" s="1"/>
  <c r="F27" i="5"/>
  <c r="F26" i="5"/>
  <c r="D20" i="5"/>
  <c r="D19" i="5"/>
  <c r="F17" i="5"/>
  <c r="D17" i="5" s="1"/>
  <c r="F12" i="5"/>
  <c r="D12" i="5" s="1"/>
  <c r="F13" i="5"/>
  <c r="D13" i="5" s="1"/>
  <c r="F10" i="5"/>
  <c r="D10" i="5" s="1"/>
  <c r="G53" i="8"/>
  <c r="F32" i="5" s="1"/>
  <c r="G51" i="8"/>
  <c r="G56" i="8"/>
  <c r="F33" i="5" s="1"/>
  <c r="G22" i="8"/>
  <c r="G34" i="8" s="1"/>
  <c r="F9" i="5"/>
  <c r="G132" i="8"/>
  <c r="G107" i="8"/>
  <c r="G71" i="8"/>
  <c r="D71" i="8"/>
  <c r="C71" i="8"/>
  <c r="E71" i="8"/>
  <c r="D61" i="5"/>
  <c r="C61" i="5"/>
  <c r="F31" i="5" l="1"/>
  <c r="G60" i="8"/>
  <c r="D9" i="5"/>
  <c r="F15" i="5"/>
  <c r="D15" i="5" s="1"/>
  <c r="F8" i="3"/>
  <c r="F87" i="5"/>
  <c r="F14" i="3" s="1"/>
  <c r="J85" i="8"/>
  <c r="G84" i="8"/>
  <c r="F48" i="5" s="1"/>
  <c r="G149" i="8"/>
  <c r="G153" i="8" s="1"/>
  <c r="G159" i="8" s="1"/>
  <c r="G90" i="8"/>
  <c r="F53" i="5" s="1"/>
  <c r="E62" i="8"/>
  <c r="G97" i="8"/>
  <c r="F55" i="5" s="1"/>
  <c r="G92" i="8"/>
  <c r="F52" i="5"/>
  <c r="F51" i="5"/>
  <c r="G82" i="8"/>
  <c r="F47" i="5" s="1"/>
  <c r="F46" i="5"/>
  <c r="G72" i="8"/>
  <c r="F45" i="5" s="1"/>
  <c r="G86" i="8"/>
  <c r="F49" i="5" s="1"/>
  <c r="F16" i="5"/>
  <c r="J74" i="8"/>
  <c r="J77" i="8"/>
  <c r="F13" i="3"/>
  <c r="F17" i="3"/>
  <c r="F64" i="5"/>
  <c r="F9" i="3"/>
  <c r="F12" i="3"/>
  <c r="F35" i="5"/>
  <c r="F34" i="3"/>
  <c r="G123" i="8"/>
  <c r="G127" i="8" s="1"/>
  <c r="E129" i="8" s="1"/>
  <c r="C59" i="5"/>
  <c r="D14" i="7"/>
  <c r="F18" i="5" l="1"/>
  <c r="F54" i="5"/>
  <c r="G105" i="8"/>
  <c r="G112" i="8" s="1"/>
  <c r="E155" i="8"/>
  <c r="F88" i="5"/>
  <c r="F16" i="3"/>
  <c r="D16" i="5"/>
  <c r="G66" i="8"/>
  <c r="E30" i="8"/>
  <c r="J103" i="8"/>
  <c r="F57" i="5" s="1"/>
  <c r="F59" i="5" s="1"/>
  <c r="F65" i="5" s="1"/>
  <c r="F35" i="3"/>
  <c r="L16" i="4"/>
  <c r="G133" i="8"/>
  <c r="F73" i="5"/>
  <c r="E59" i="5" l="1"/>
  <c r="F75" i="5"/>
  <c r="F15" i="3"/>
  <c r="F18" i="3" l="1"/>
  <c r="L9" i="4" s="1"/>
  <c r="G161" i="8"/>
  <c r="C13" i="4"/>
  <c r="D15" i="7"/>
  <c r="D14" i="4" s="1"/>
  <c r="C14" i="4"/>
  <c r="D12" i="7"/>
  <c r="D17" i="4" s="1"/>
  <c r="C17" i="4"/>
  <c r="C12" i="4"/>
  <c r="D10" i="7"/>
  <c r="D11" i="4" s="1"/>
  <c r="C11" i="4"/>
  <c r="C10" i="4"/>
  <c r="C9" i="4"/>
  <c r="C25" i="2"/>
  <c r="F18" i="2"/>
  <c r="C18" i="2"/>
  <c r="D8" i="7"/>
  <c r="D9" i="4" s="1"/>
  <c r="C17" i="3"/>
  <c r="D17" i="3" s="1"/>
  <c r="C16" i="3"/>
  <c r="D16" i="3" s="1"/>
  <c r="C37" i="3"/>
  <c r="C36" i="3"/>
  <c r="C28" i="3"/>
  <c r="C29" i="3"/>
  <c r="C30" i="3"/>
  <c r="C31" i="3"/>
  <c r="C32" i="3"/>
  <c r="C27" i="3"/>
  <c r="C24" i="3"/>
  <c r="C25" i="3"/>
  <c r="C26" i="3"/>
  <c r="C23" i="3"/>
  <c r="C22" i="3"/>
  <c r="C19" i="3"/>
  <c r="C21" i="3" s="1"/>
  <c r="I10" i="4" s="1"/>
  <c r="C15" i="3"/>
  <c r="D15" i="3" s="1"/>
  <c r="C14" i="3"/>
  <c r="D14" i="3" s="1"/>
  <c r="C13" i="3"/>
  <c r="D13" i="3" s="1"/>
  <c r="C12" i="3"/>
  <c r="D12" i="3" s="1"/>
  <c r="C11" i="3"/>
  <c r="D11" i="3" s="1"/>
  <c r="C9" i="3"/>
  <c r="D9" i="3" s="1"/>
  <c r="C8" i="3"/>
  <c r="D8" i="3" s="1"/>
  <c r="D91" i="5"/>
  <c r="E91" i="5"/>
  <c r="E84" i="5"/>
  <c r="E86" i="5"/>
  <c r="E87" i="5"/>
  <c r="E88" i="5"/>
  <c r="E83" i="5"/>
  <c r="D84" i="5"/>
  <c r="D86" i="5"/>
  <c r="D87" i="5"/>
  <c r="D88" i="5"/>
  <c r="D89" i="5"/>
  <c r="D83" i="5"/>
  <c r="D18" i="2" l="1"/>
  <c r="D18" i="3"/>
  <c r="C15" i="4"/>
  <c r="C18" i="4" s="1"/>
  <c r="C18" i="3"/>
  <c r="I9" i="4" s="1"/>
  <c r="K9" i="4" s="1"/>
  <c r="C33" i="3"/>
  <c r="I11" i="4" s="1"/>
  <c r="C38" i="3"/>
  <c r="I17" i="4" s="1"/>
  <c r="D13" i="4"/>
  <c r="E76" i="5"/>
  <c r="E70" i="5"/>
  <c r="E72" i="5"/>
  <c r="E73" i="5"/>
  <c r="E69" i="5"/>
  <c r="D76" i="5"/>
  <c r="D77" i="5"/>
  <c r="D70" i="5"/>
  <c r="D71" i="5"/>
  <c r="D72" i="5"/>
  <c r="D73" i="5"/>
  <c r="D74" i="5"/>
  <c r="D69" i="5"/>
  <c r="D63" i="5"/>
  <c r="D62" i="5"/>
  <c r="E46" i="5"/>
  <c r="E47" i="5"/>
  <c r="E48" i="5"/>
  <c r="E49" i="5"/>
  <c r="E50" i="5"/>
  <c r="E51" i="5"/>
  <c r="E52" i="5"/>
  <c r="E53" i="5"/>
  <c r="E54" i="5"/>
  <c r="E55" i="5"/>
  <c r="E56" i="5"/>
  <c r="E57" i="5"/>
  <c r="E45" i="5"/>
  <c r="D49" i="5"/>
  <c r="D46" i="5"/>
  <c r="D47" i="5"/>
  <c r="D48" i="5"/>
  <c r="D50" i="5"/>
  <c r="D51" i="5"/>
  <c r="D52" i="5"/>
  <c r="D53" i="5"/>
  <c r="D54" i="5"/>
  <c r="D55" i="5"/>
  <c r="D56" i="5"/>
  <c r="D57" i="5"/>
  <c r="D58" i="5"/>
  <c r="D45" i="5"/>
  <c r="D43" i="5"/>
  <c r="D44" i="5" s="1"/>
  <c r="C44" i="5"/>
  <c r="E36" i="5"/>
  <c r="E19" i="5"/>
  <c r="D36" i="5"/>
  <c r="D34" i="5"/>
  <c r="D26" i="5"/>
  <c r="D27" i="5"/>
  <c r="D28" i="5"/>
  <c r="D29" i="5"/>
  <c r="D30" i="5"/>
  <c r="D31" i="5"/>
  <c r="D32" i="5"/>
  <c r="D33" i="5"/>
  <c r="C35" i="5"/>
  <c r="E27" i="5"/>
  <c r="E31" i="5"/>
  <c r="E26" i="5"/>
  <c r="C21" i="5"/>
  <c r="C18" i="5"/>
  <c r="E9" i="5"/>
  <c r="E10" i="5"/>
  <c r="E13" i="5"/>
  <c r="E15" i="5"/>
  <c r="E14" i="5"/>
  <c r="C22" i="5" l="1"/>
  <c r="I15" i="4"/>
  <c r="I18" i="4" s="1"/>
  <c r="D59" i="5"/>
  <c r="E18" i="5" l="1"/>
  <c r="E35" i="5" l="1"/>
  <c r="F22" i="3" l="1"/>
  <c r="F23" i="3"/>
  <c r="F24" i="3"/>
  <c r="F25" i="3"/>
  <c r="E24" i="3" l="1"/>
  <c r="D24" i="3"/>
  <c r="E25" i="3"/>
  <c r="D25" i="3"/>
  <c r="E23" i="3"/>
  <c r="D23" i="3"/>
  <c r="E22" i="3"/>
  <c r="D22" i="3"/>
  <c r="E9" i="3"/>
  <c r="E8" i="3" l="1"/>
  <c r="F14" i="4"/>
  <c r="F11" i="7"/>
  <c r="F90" i="5"/>
  <c r="F12" i="4" l="1"/>
  <c r="E15" i="3"/>
  <c r="E14" i="3"/>
  <c r="C93" i="5" l="1"/>
  <c r="C90" i="5"/>
  <c r="E90" i="5" s="1"/>
  <c r="C78" i="5"/>
  <c r="C75" i="5"/>
  <c r="C64" i="5"/>
  <c r="C38" i="5"/>
  <c r="C39" i="5" s="1"/>
  <c r="C39" i="3"/>
  <c r="C13" i="2"/>
  <c r="C16" i="7"/>
  <c r="C65" i="5" l="1"/>
  <c r="E65" i="5" s="1"/>
  <c r="E64" i="5"/>
  <c r="C79" i="5"/>
  <c r="E75" i="5"/>
  <c r="C27" i="2"/>
  <c r="C94" i="5"/>
  <c r="C96" i="5" l="1"/>
  <c r="E12" i="7"/>
  <c r="F9" i="7"/>
  <c r="F10" i="4" s="1"/>
  <c r="F37" i="3"/>
  <c r="E37" i="3" s="1"/>
  <c r="F36" i="3"/>
  <c r="E36" i="3" s="1"/>
  <c r="F32" i="3"/>
  <c r="D32" i="3" s="1"/>
  <c r="F31" i="3"/>
  <c r="F30" i="3"/>
  <c r="F29" i="3"/>
  <c r="F28" i="3"/>
  <c r="F27" i="3"/>
  <c r="F26" i="3"/>
  <c r="E13" i="3"/>
  <c r="F13" i="4" l="1"/>
  <c r="E14" i="7"/>
  <c r="E26" i="3"/>
  <c r="D26" i="3"/>
  <c r="E30" i="3"/>
  <c r="D30" i="3"/>
  <c r="D37" i="3"/>
  <c r="E27" i="3"/>
  <c r="D27" i="3"/>
  <c r="E31" i="3"/>
  <c r="D31" i="3"/>
  <c r="E28" i="3"/>
  <c r="D28" i="3"/>
  <c r="E29" i="3"/>
  <c r="D29" i="3"/>
  <c r="D36" i="3"/>
  <c r="D38" i="3" s="1"/>
  <c r="J17" i="4" s="1"/>
  <c r="F38" i="3"/>
  <c r="E13" i="7"/>
  <c r="F33" i="3"/>
  <c r="D19" i="3"/>
  <c r="L11" i="4" l="1"/>
  <c r="K11" i="4" s="1"/>
  <c r="E33" i="3"/>
  <c r="L17" i="4"/>
  <c r="K17" i="4" s="1"/>
  <c r="E38" i="3"/>
  <c r="D33" i="3"/>
  <c r="J11" i="4" s="1"/>
  <c r="F13" i="2"/>
  <c r="D10" i="2"/>
  <c r="E18" i="3"/>
  <c r="F21" i="3"/>
  <c r="E21" i="3" s="1"/>
  <c r="E19" i="3"/>
  <c r="F16" i="7"/>
  <c r="E16" i="7" s="1"/>
  <c r="F93" i="5"/>
  <c r="E93" i="5" s="1"/>
  <c r="F78" i="5"/>
  <c r="E78" i="5" s="1"/>
  <c r="F21" i="5"/>
  <c r="E21" i="5" s="1"/>
  <c r="D13" i="2" l="1"/>
  <c r="E13" i="2"/>
  <c r="F39" i="3"/>
  <c r="E39" i="3" s="1"/>
  <c r="L10" i="4"/>
  <c r="K10" i="4" s="1"/>
  <c r="F94" i="5"/>
  <c r="E94" i="5" s="1"/>
  <c r="E38" i="5"/>
  <c r="F39" i="5"/>
  <c r="E39" i="5" s="1"/>
  <c r="D21" i="5"/>
  <c r="D21" i="3"/>
  <c r="J9" i="4"/>
  <c r="D18" i="5"/>
  <c r="D35" i="5"/>
  <c r="F79" i="5"/>
  <c r="E79" i="5" s="1"/>
  <c r="F22" i="5"/>
  <c r="D75" i="5"/>
  <c r="D93" i="5"/>
  <c r="D78" i="5"/>
  <c r="D90" i="5"/>
  <c r="D38" i="5"/>
  <c r="D64" i="5"/>
  <c r="D65" i="5" s="1"/>
  <c r="J10" i="4" l="1"/>
  <c r="J15" i="4" s="1"/>
  <c r="J18" i="4" s="1"/>
  <c r="D39" i="3"/>
  <c r="E22" i="5"/>
  <c r="F96" i="5"/>
  <c r="E96" i="5" s="1"/>
  <c r="D22" i="5"/>
  <c r="D39" i="5"/>
  <c r="D79" i="5"/>
  <c r="D94" i="5"/>
  <c r="E17" i="4"/>
  <c r="E13" i="4"/>
  <c r="F25" i="2"/>
  <c r="D11" i="7"/>
  <c r="D12" i="4" s="1"/>
  <c r="F27" i="2" l="1"/>
  <c r="F30" i="2" s="1"/>
  <c r="D96" i="5"/>
  <c r="D25" i="2"/>
  <c r="D9" i="7"/>
  <c r="D10" i="4" s="1"/>
  <c r="D15" i="4" s="1"/>
  <c r="D18" i="4" s="1"/>
  <c r="G163" i="8" l="1"/>
  <c r="E27" i="2"/>
  <c r="D27" i="2"/>
  <c r="D13" i="7"/>
  <c r="D16" i="7" s="1"/>
  <c r="L15" i="4" l="1"/>
  <c r="K15" i="4" s="1"/>
  <c r="L18" i="4" l="1"/>
  <c r="K18" i="4" s="1"/>
  <c r="F15" i="4" l="1"/>
  <c r="E15" i="4" s="1"/>
  <c r="F18" i="4" l="1"/>
  <c r="E18" i="4" s="1"/>
</calcChain>
</file>

<file path=xl/sharedStrings.xml><?xml version="1.0" encoding="utf-8"?>
<sst xmlns="http://schemas.openxmlformats.org/spreadsheetml/2006/main" count="594" uniqueCount="188">
  <si>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</si>
  <si>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</si>
  <si>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</si>
  <si>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</si>
  <si>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</si>
  <si>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</si>
  <si>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</si>
  <si>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</si>
  <si>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</si>
  <si>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</si>
  <si>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</si>
  <si>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</si>
  <si>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</si>
  <si>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</si>
  <si>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</si>
  <si>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</si>
  <si>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</si>
  <si>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</si>
  <si>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</si>
  <si>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</si>
  <si>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</si>
  <si>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</si>
  <si>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</si>
  <si>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</si>
  <si>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</si>
  <si>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</si>
  <si>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</si>
  <si>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</si>
  <si>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</si>
  <si>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</si>
  <si>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</si>
  <si>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</si>
  <si>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</si>
  <si>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</si>
  <si>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</si>
  <si>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</si>
  <si>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</si>
  <si>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</si>
  <si>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</si>
  <si>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</si>
  <si>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</si>
  <si>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</si>
  <si>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</si>
  <si>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</si>
  <si>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</si>
  <si>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</si>
  <si>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</si>
  <si>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</si>
  <si>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</si>
  <si>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</si>
  <si>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</si>
  <si>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</si>
  <si>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</si>
  <si>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</si>
  <si>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</si>
  <si>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</si>
  <si>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</si>
  <si>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</si>
  <si>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</si>
  <si>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</si>
  <si>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</si>
  <si>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</si>
  <si>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</si>
  <si>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</si>
  <si>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</si>
  <si>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</si>
  <si>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</si>
  <si>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</si>
  <si>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</si>
  <si>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</si>
  <si>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</si>
  <si>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</si>
  <si>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</si>
  <si>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</si>
  <si>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</si>
  <si>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</si>
  <si>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</si>
  <si>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</si>
  <si>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</si>
  <si>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</si>
  <si>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</si>
  <si>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</si>
  <si>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</si>
  <si>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</si>
  <si>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</si>
  <si>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</si>
  <si>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</si>
  <si>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</si>
  <si>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</si>
  <si>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</si>
  <si>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</si>
  <si>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</si>
  <si>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</si>
  <si>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</si>
  <si>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</si>
  <si>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</si>
  <si>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</si>
  <si>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</si>
  <si>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</si>
  <si>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</si>
  <si>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</si>
  <si>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</si>
  <si>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</si>
  <si>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</si>
  <si>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</si>
  <si>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</si>
  <si>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</si>
  <si>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</si>
  <si>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</si>
  <si>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</si>
  <si>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</si>
  <si>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</si>
  <si>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</si>
  <si>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</si>
  <si>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</si>
  <si>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</si>
  <si>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</si>
  <si>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</si>
  <si>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4 fő EP hj.; betegszabadság</t>
  </si>
  <si>
    <t>4 fő bankköltség hj., munkaruha 30000 Ft/fő/év</t>
  </si>
  <si>
    <t>2021. évi eredeti EI</t>
  </si>
  <si>
    <t>051231</t>
  </si>
  <si>
    <t>Egyéb külső személyi juttatások teljesítése</t>
  </si>
  <si>
    <t>Közüzemii díjak teljesítése</t>
  </si>
  <si>
    <t>Munkavégzésre irányuló egyéb jogviszonyban nem saját foglalkoztatott.</t>
  </si>
  <si>
    <t>Egyéb külső személyi juttatások</t>
  </si>
  <si>
    <t>091110 - Óvoda nevelés, ellátás szakmai feladatai</t>
  </si>
  <si>
    <t>Elkülönített állami pénzalaptól működési célú támogatások bevételei</t>
  </si>
  <si>
    <t>094101</t>
  </si>
  <si>
    <t>Biztosítók által fizetett kártérítés teljesítése</t>
  </si>
  <si>
    <t>09410</t>
  </si>
  <si>
    <t>Biztosítók által fizetett kártérítés</t>
  </si>
  <si>
    <t>0916</t>
  </si>
  <si>
    <t>Működési célú támogatások</t>
  </si>
  <si>
    <t>Bölcsőde:</t>
  </si>
  <si>
    <t>Köznevelés:</t>
  </si>
  <si>
    <t>Tartalékok kiadásai</t>
  </si>
  <si>
    <t>055131</t>
  </si>
  <si>
    <t>Tartalékok</t>
  </si>
  <si>
    <t>bölcsödei normatíva:</t>
  </si>
  <si>
    <t>Hertlik-Zsalezsák Anna</t>
  </si>
  <si>
    <t>Mudra Magdolna</t>
  </si>
  <si>
    <t>Teberi Ágnes</t>
  </si>
  <si>
    <t>Wippelhauser Adél</t>
  </si>
  <si>
    <t>Mihovné Bor Ilona</t>
  </si>
  <si>
    <t>Juhászné Somogyi Éva Anikó</t>
  </si>
  <si>
    <t>Bartolen Istvánné</t>
  </si>
  <si>
    <t>EP</t>
  </si>
  <si>
    <t>Betegszabadság</t>
  </si>
  <si>
    <t>Vogyeraczki Mária</t>
  </si>
  <si>
    <t>Fenyő Imréné</t>
  </si>
  <si>
    <t>Mácsai Andrásné</t>
  </si>
  <si>
    <t>Flórián Krisztina Adrienn</t>
  </si>
  <si>
    <t>Vojczek Iván Gáborné</t>
  </si>
  <si>
    <t>Bankköltség hozzájárulás</t>
  </si>
  <si>
    <t>Köznevelési normatíva:</t>
  </si>
  <si>
    <t>munkaruha</t>
  </si>
  <si>
    <t>tisztítószer</t>
  </si>
  <si>
    <t>irodaszer</t>
  </si>
  <si>
    <t>055</t>
  </si>
  <si>
    <t>Ludové Noviny</t>
  </si>
  <si>
    <t>egyéb üzemeltetési anyag</t>
  </si>
  <si>
    <t>egyéb szakmai anyag</t>
  </si>
  <si>
    <t>Mobilinternet</t>
  </si>
  <si>
    <t>Telefonszámla</t>
  </si>
  <si>
    <t>EÜ alkalmassági</t>
  </si>
  <si>
    <t>Üzemorvos</t>
  </si>
  <si>
    <t>Hulladékgazdálkodás</t>
  </si>
  <si>
    <t>bankköltség</t>
  </si>
  <si>
    <t>ÁHK</t>
  </si>
  <si>
    <t>kötelező 2 %</t>
  </si>
  <si>
    <t>szőnyeg</t>
  </si>
  <si>
    <t>Konczová Karina</t>
  </si>
  <si>
    <t>Piliscsévi "Aranykapu" Óvoda-Bölcsőde</t>
  </si>
  <si>
    <t>2022. évi eredeti költségvetési előirányzat</t>
  </si>
  <si>
    <t>2022. évi eredeti költségetési előirányzat</t>
  </si>
  <si>
    <t>2022. évi eredeti EI</t>
  </si>
  <si>
    <t>Salikné Farda Gabriella</t>
  </si>
  <si>
    <t>05260</t>
  </si>
  <si>
    <t>0511041</t>
  </si>
  <si>
    <t>Készenléti, ügyeleti, helyettesítési díj, túlóra, túlszolgálat teljesítése</t>
  </si>
  <si>
    <t>vízszűrőbetét</t>
  </si>
  <si>
    <t>tetőszigetelés</t>
  </si>
  <si>
    <t>SNI fejlesztés</t>
  </si>
  <si>
    <t>laptop</t>
  </si>
  <si>
    <t>kiegészító tám</t>
  </si>
  <si>
    <t>bölcsi kieg</t>
  </si>
  <si>
    <t>Kovácsné Hertlik Éva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</si>
</sst>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.0%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quotePrefix="1" applyFont="0" applyFill="0" applyBorder="0" applyAlignment="0">
      <protection locked="0"/>
    </xf>
    <xf numFmtId="9" fontId="9" fillId="0" borderId="0" quotePrefix="1" applyFont="0" applyFill="0" applyBorder="0" applyAlignment="0">
      <protection locked="0"/>
    </xf>
  </cellStyleXfs>
  <cellXfs count="514">
    <xf numFmtId="0" fontId="0" fillId="0" borderId="0" xfId="0"/>
    <xf numFmtId="0" fontId="0" fillId="0" borderId="0" xfId="0" applyAlignment="1"/>
    <xf numFmtId="0" fontId="8" fillId="0" borderId="11" xfId="0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vertical="center" wrapText="1" readingOrder="1"/>
      <protection locked="0"/>
    </xf>
    <xf numFmtId="0" fontId="11" fillId="9" borderId="0" xfId="0" applyFont="1" applyFill="1"/>
    <xf numFmtId="0" fontId="2" fillId="0" borderId="0" xfId="0" applyFont="1" applyFill="1" applyAlignment="1"/>
    <xf numFmtId="0" fontId="0" fillId="0" borderId="0" xfId="0" applyFill="1"/>
    <xf numFmtId="0" fontId="8" fillId="0" borderId="3" xfId="0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right"/>
    </xf>
    <xf numFmtId="3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15" xfId="0" applyNumberFormat="1" applyFont="1" applyBorder="1" applyAlignment="1" applyProtection="1">
      <alignment vertical="center" wrapText="1" readingOrder="1"/>
      <protection locked="0"/>
    </xf>
    <xf numFmtId="3" fontId="8" fillId="0" borderId="20" xfId="0" applyNumberFormat="1" applyFont="1" applyBorder="1" applyAlignment="1" applyProtection="1">
      <alignment vertical="center" wrapText="1" readingOrder="1"/>
      <protection locked="0"/>
    </xf>
    <xf numFmtId="3" fontId="8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Border="1" applyAlignment="1" applyProtection="1">
      <alignment horizontal="right" vertical="center" wrapText="1" shrinkToFit="1"/>
    </xf>
    <xf numFmtId="0" fontId="0" fillId="0" borderId="0" xfId="0" applyBorder="1"/>
    <xf numFmtId="3" fontId="13" fillId="0" borderId="0" xfId="0" applyNumberFormat="1" applyFont="1" applyFill="1" applyBorder="1"/>
    <xf numFmtId="0" fontId="7" fillId="14" borderId="15" xfId="0" applyFont="1" applyFill="1" applyBorder="1" applyAlignment="1" applyProtection="1">
      <alignment horizontal="center" vertical="center" wrapText="1" readingOrder="1"/>
      <protection locked="0"/>
    </xf>
    <xf numFmtId="0" fontId="7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 applyBorder="1"/>
    <xf numFmtId="3" fontId="0" fillId="0" borderId="33" xfId="0" applyNumberFormat="1" applyBorder="1"/>
    <xf numFmtId="49" fontId="8" fillId="0" borderId="3" xfId="0" applyNumberFormat="1" applyFont="1" applyBorder="1" applyAlignment="1" applyProtection="1">
      <alignment vertical="center" wrapText="1" readingOrder="1"/>
      <protection locked="0"/>
    </xf>
    <xf numFmtId="0" fontId="8" fillId="0" borderId="22" xfId="0" applyFont="1" applyBorder="1" applyAlignment="1" applyProtection="1">
      <alignment vertical="center" wrapText="1" readingOrder="1"/>
      <protection locked="0"/>
    </xf>
    <xf numFmtId="3" fontId="10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8" fillId="0" borderId="5" xfId="0" applyNumberFormat="1" applyFont="1" applyBorder="1" applyAlignment="1" applyProtection="1">
      <alignment vertical="center" wrapText="1" readingOrder="1"/>
      <protection locked="0"/>
    </xf>
    <xf numFmtId="3" fontId="0" fillId="0" borderId="0" xfId="0" applyNumberFormat="1" applyAlignmen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4" fillId="0" borderId="0" xfId="0" applyFont="1"/>
    <xf numFmtId="3" fontId="15" fillId="0" borderId="0" xfId="1" applyNumberFormat="1" applyFont="1" applyFill="1" applyBorder="1">
      <protection locked="0"/>
    </xf>
    <xf numFmtId="3" fontId="14" fillId="0" borderId="0" xfId="0" applyNumberFormat="1" applyFont="1"/>
    <xf numFmtId="3" fontId="13" fillId="0" borderId="0" xfId="0" applyNumberFormat="1" applyFont="1"/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29" xfId="0" applyFont="1" applyBorder="1" applyAlignment="1" applyProtection="1">
      <alignment vertical="center" wrapText="1" readingOrder="1"/>
      <protection locked="0"/>
    </xf>
    <xf numFmtId="0" fontId="8" fillId="0" borderId="31" xfId="0" applyFont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vertical="center" wrapText="1" readingOrder="1"/>
      <protection locked="0"/>
    </xf>
    <xf numFmtId="0" fontId="8" fillId="0" borderId="42" xfId="0" applyFont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vertical="center" wrapText="1" readingOrder="1"/>
      <protection locked="0"/>
    </xf>
    <xf numFmtId="3" fontId="8" fillId="0" borderId="16" xfId="0" applyNumberFormat="1" applyFont="1" applyFill="1" applyBorder="1" applyAlignment="1" applyProtection="1">
      <alignment vertical="center" wrapText="1" readingOrder="1"/>
      <protection locked="0"/>
    </xf>
    <xf numFmtId="49" fontId="8" fillId="0" borderId="11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0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/>
    <xf numFmtId="3" fontId="0" fillId="0" borderId="0" xfId="0" applyNumberFormat="1"/>
    <xf numFmtId="49" fontId="8" fillId="0" borderId="42" xfId="0" applyNumberFormat="1" applyFont="1" applyBorder="1" applyAlignment="1" applyProtection="1">
      <alignment vertical="center" wrapText="1" readingOrder="1"/>
      <protection locked="0"/>
    </xf>
    <xf numFmtId="3" fontId="8" fillId="0" borderId="44" xfId="0" applyNumberFormat="1" applyFont="1" applyBorder="1" applyAlignment="1" applyProtection="1">
      <alignment vertical="center" wrapText="1" readingOrder="1"/>
      <protection locked="0"/>
    </xf>
    <xf numFmtId="3" fontId="8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7" fillId="16" borderId="14" xfId="0" applyNumberFormat="1" applyFont="1" applyFill="1" applyBorder="1" applyAlignment="1" applyProtection="1">
      <alignment vertical="center" wrapText="1" readingOrder="1"/>
      <protection locked="0"/>
    </xf>
    <xf numFmtId="3" fontId="7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8" xfId="0" applyNumberFormat="1" applyFont="1" applyFill="1" applyBorder="1" applyAlignment="1" applyProtection="1">
      <alignment vertical="center" wrapText="1" readingOrder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Fill="1" applyBorder="1" applyAlignment="1" applyProtection="1">
      <alignment vertical="center" wrapText="1" readingOrder="1"/>
      <protection locked="0"/>
    </xf>
    <xf numFmtId="3" fontId="8" fillId="0" borderId="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5" xfId="0" applyNumberFormat="1" applyFont="1" applyFill="1" applyBorder="1" applyAlignment="1" applyProtection="1">
      <alignment vertical="center" wrapText="1" readingOrder="1"/>
      <protection locked="0"/>
    </xf>
    <xf numFmtId="0" fontId="8" fillId="0" borderId="6" xfId="0" applyFont="1" applyFill="1" applyBorder="1" applyAlignment="1" applyProtection="1">
      <alignment vertical="center" wrapText="1" readingOrder="1"/>
      <protection locked="0"/>
    </xf>
    <xf numFmtId="3" fontId="8" fillId="0" borderId="6" xfId="0" applyNumberFormat="1" applyFont="1" applyFill="1" applyBorder="1" applyAlignment="1" applyProtection="1">
      <alignment vertical="center" wrapText="1" readingOrder="1"/>
      <protection locked="0"/>
    </xf>
    <xf numFmtId="3" fontId="7" fillId="16" borderId="7" xfId="0" applyNumberFormat="1" applyFont="1" applyFill="1" applyBorder="1" applyAlignment="1" applyProtection="1">
      <alignment vertical="center" wrapText="1" readingOrder="1"/>
      <protection locked="0"/>
    </xf>
    <xf numFmtId="0" fontId="8" fillId="0" borderId="9" xfId="0" applyFont="1" applyBorder="1" applyAlignment="1" applyProtection="1">
      <alignment vertical="center" wrapText="1" readingOrder="1"/>
      <protection locked="0"/>
    </xf>
    <xf numFmtId="3" fontId="10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2" fillId="0" borderId="0" xfId="0" applyFont="1" applyFill="1"/>
    <xf numFmtId="0" fontId="16" fillId="0" borderId="0" xfId="0" applyFont="1" applyFill="1" applyBorder="1" applyAlignment="1" applyProtection="1">
      <alignment horizontal="center" vertical="center" wrapText="1" readingOrder="1"/>
      <protection locked="0"/>
    </xf>
    <xf numFmtId="0" fontId="12" fillId="9" borderId="0" xfId="0" applyFont="1" applyFill="1"/>
    <xf numFmtId="49" fontId="8" fillId="0" borderId="9" xfId="0" applyNumberFormat="1" applyFont="1" applyFill="1" applyBorder="1" applyAlignment="1" applyProtection="1">
      <alignment vertical="center" wrapText="1" readingOrder="1"/>
      <protection locked="0"/>
    </xf>
    <xf numFmtId="3" fontId="10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0" xfId="0" applyFont="1" applyFill="1" applyBorder="1" applyAlignment="1" applyProtection="1">
      <alignment vertical="center" wrapText="1" readingOrder="1"/>
      <protection locked="0"/>
    </xf>
    <xf numFmtId="49" fontId="8" fillId="0" borderId="11" xfId="0" applyNumberFormat="1" applyFont="1" applyFill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6" borderId="15" xfId="0" applyNumberFormat="1" applyFont="1" applyFill="1" applyBorder="1" applyAlignment="1" applyProtection="1">
      <alignment horizontal="center" vertical="center"/>
    </xf>
    <xf numFmtId="0" fontId="18" fillId="2" borderId="1" xfId="0" applyNumberFormat="1" applyFont="1" applyFill="1" applyBorder="1" applyAlignment="1" applyProtection="1">
      <alignment horizontal="center" vertical="center" wrapText="1" shrinkToFit="1"/>
    </xf>
    <xf numFmtId="0" fontId="18" fillId="2" borderId="19" xfId="0" applyNumberFormat="1" applyFont="1" applyFill="1" applyBorder="1" applyAlignment="1" applyProtection="1">
      <alignment horizontal="center" vertical="center" wrapText="1" shrinkToFit="1"/>
    </xf>
    <xf numFmtId="49" fontId="19" fillId="3" borderId="3" xfId="0" applyNumberFormat="1" applyFont="1" applyFill="1" applyBorder="1" applyAlignment="1" applyProtection="1">
      <alignment horizontal="left" vertical="center" wrapText="1" shrinkToFit="1"/>
    </xf>
    <xf numFmtId="49" fontId="19" fillId="3" borderId="4" xfId="0" applyNumberFormat="1" applyFont="1" applyFill="1" applyBorder="1" applyAlignment="1" applyProtection="1">
      <alignment vertical="center" wrapText="1" shrinkToFit="1"/>
    </xf>
    <xf numFmtId="3" fontId="19" fillId="3" borderId="4" xfId="0" applyNumberFormat="1" applyFont="1" applyFill="1" applyBorder="1" applyAlignment="1" applyProtection="1">
      <alignment vertical="center" wrapText="1" shrinkToFit="1"/>
    </xf>
    <xf numFmtId="3" fontId="19" fillId="3" borderId="4" xfId="0" applyNumberFormat="1" applyFont="1" applyFill="1" applyBorder="1" applyAlignment="1" applyProtection="1">
      <alignment horizontal="center" vertical="center" wrapText="1" shrinkToFit="1"/>
    </xf>
    <xf numFmtId="3" fontId="19" fillId="3" borderId="16" xfId="0" applyNumberFormat="1" applyFont="1" applyFill="1" applyBorder="1" applyAlignment="1" applyProtection="1">
      <alignment vertical="center" wrapText="1" shrinkToFit="1"/>
    </xf>
    <xf numFmtId="49" fontId="19" fillId="3" borderId="6" xfId="0" applyNumberFormat="1" applyFont="1" applyFill="1" applyBorder="1" applyAlignment="1" applyProtection="1">
      <alignment vertical="center" wrapText="1" shrinkToFit="1"/>
    </xf>
    <xf numFmtId="3" fontId="19" fillId="3" borderId="24" xfId="0" applyNumberFormat="1" applyFont="1" applyFill="1" applyBorder="1" applyAlignment="1" applyProtection="1">
      <alignment vertical="center" wrapText="1" shrinkToFit="1"/>
    </xf>
    <xf numFmtId="49" fontId="20" fillId="3" borderId="2" xfId="0" applyNumberFormat="1" applyFont="1" applyFill="1" applyBorder="1" applyAlignment="1" applyProtection="1">
      <alignment vertical="center" wrapText="1" shrinkToFit="1"/>
    </xf>
    <xf numFmtId="3" fontId="20" fillId="3" borderId="15" xfId="0" applyNumberFormat="1" applyFont="1" applyFill="1" applyBorder="1" applyAlignment="1" applyProtection="1">
      <alignment vertical="center" wrapText="1" shrinkToFit="1"/>
    </xf>
    <xf numFmtId="3" fontId="20" fillId="3" borderId="20" xfId="0" applyNumberFormat="1" applyFont="1" applyFill="1" applyBorder="1" applyAlignment="1" applyProtection="1">
      <alignment vertical="center" wrapText="1" shrinkToFit="1"/>
    </xf>
    <xf numFmtId="49" fontId="20" fillId="3" borderId="6" xfId="0" applyNumberFormat="1" applyFont="1" applyFill="1" applyBorder="1" applyAlignment="1" applyProtection="1">
      <alignment vertical="center" wrapText="1" shrinkToFit="1"/>
    </xf>
    <xf numFmtId="3" fontId="18" fillId="4" borderId="8" xfId="0" applyNumberFormat="1" applyFont="1" applyFill="1" applyBorder="1"/>
    <xf numFmtId="3" fontId="18" fillId="4" borderId="7" xfId="0" applyNumberFormat="1" applyFont="1" applyFill="1" applyBorder="1" applyAlignment="1">
      <alignment horizontal="center"/>
    </xf>
    <xf numFmtId="49" fontId="19" fillId="0" borderId="9" xfId="0" applyNumberFormat="1" applyFont="1" applyFill="1" applyBorder="1" applyAlignment="1" applyProtection="1">
      <alignment horizontal="left" vertical="center" wrapText="1" shrinkToFit="1"/>
    </xf>
    <xf numFmtId="0" fontId="19" fillId="0" borderId="10" xfId="0" applyNumberFormat="1" applyFont="1" applyFill="1" applyBorder="1" applyAlignment="1" applyProtection="1">
      <alignment horizontal="left" vertical="center" wrapText="1" shrinkToFit="1"/>
    </xf>
    <xf numFmtId="3" fontId="19" fillId="0" borderId="10" xfId="0" applyNumberFormat="1" applyFont="1" applyFill="1" applyBorder="1" applyAlignment="1" applyProtection="1">
      <alignment horizontal="right" vertical="center" wrapText="1" shrinkToFit="1"/>
    </xf>
    <xf numFmtId="3" fontId="19" fillId="3" borderId="4" xfId="0" applyNumberFormat="1" applyFont="1" applyFill="1" applyBorder="1" applyAlignment="1" applyProtection="1">
      <alignment horizontal="right" vertical="center" wrapText="1" shrinkToFit="1"/>
    </xf>
    <xf numFmtId="3" fontId="19" fillId="0" borderId="17" xfId="0" applyNumberFormat="1" applyFont="1" applyFill="1" applyBorder="1" applyAlignment="1" applyProtection="1">
      <alignment horizontal="right" vertical="center" wrapText="1" shrinkToFit="1"/>
    </xf>
    <xf numFmtId="49" fontId="19" fillId="0" borderId="3" xfId="0" applyNumberFormat="1" applyFont="1" applyFill="1" applyBorder="1" applyAlignment="1" applyProtection="1">
      <alignment horizontal="left" vertical="center" wrapText="1" shrinkToFit="1"/>
    </xf>
    <xf numFmtId="0" fontId="19" fillId="0" borderId="4" xfId="0" applyNumberFormat="1" applyFont="1" applyFill="1" applyBorder="1" applyAlignment="1" applyProtection="1">
      <alignment horizontal="left" vertical="center" wrapText="1" shrinkToFit="1"/>
    </xf>
    <xf numFmtId="3" fontId="19" fillId="0" borderId="4" xfId="0" applyNumberFormat="1" applyFont="1" applyFill="1" applyBorder="1" applyAlignment="1" applyProtection="1">
      <alignment horizontal="right" vertical="center" wrapText="1" shrinkToFit="1"/>
    </xf>
    <xf numFmtId="3" fontId="19" fillId="0" borderId="16" xfId="0" applyNumberFormat="1" applyFont="1" applyFill="1" applyBorder="1" applyAlignment="1" applyProtection="1">
      <alignment horizontal="right" vertical="center" wrapText="1" shrinkToFit="1"/>
    </xf>
    <xf numFmtId="3" fontId="19" fillId="3" borderId="16" xfId="0" applyNumberFormat="1" applyFont="1" applyFill="1" applyBorder="1" applyAlignment="1" applyProtection="1">
      <alignment horizontal="right" vertical="center" wrapText="1" shrinkToFit="1"/>
    </xf>
    <xf numFmtId="0" fontId="18" fillId="0" borderId="0" xfId="0" applyFont="1" applyFill="1" applyBorder="1" applyAlignment="1">
      <alignment horizontal="center"/>
    </xf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center"/>
    </xf>
    <xf numFmtId="3" fontId="18" fillId="4" borderId="8" xfId="0" applyNumberFormat="1" applyFont="1" applyFill="1" applyBorder="1" applyAlignment="1">
      <alignment horizontal="center"/>
    </xf>
    <xf numFmtId="0" fontId="21" fillId="13" borderId="17" xfId="0" applyNumberFormat="1" applyFont="1" applyFill="1" applyBorder="1" applyAlignment="1" applyProtection="1">
      <alignment horizontal="center" vertical="center"/>
    </xf>
    <xf numFmtId="0" fontId="21" fillId="10" borderId="1" xfId="0" applyNumberFormat="1" applyFont="1" applyFill="1" applyBorder="1" applyAlignment="1" applyProtection="1">
      <alignment horizontal="center" vertical="center" wrapText="1" shrinkToFit="1"/>
    </xf>
    <xf numFmtId="0" fontId="21" fillId="10" borderId="19" xfId="0" applyNumberFormat="1" applyFont="1" applyFill="1" applyBorder="1" applyAlignment="1" applyProtection="1">
      <alignment horizontal="center" vertical="center" wrapText="1" shrinkToFit="1"/>
    </xf>
    <xf numFmtId="49" fontId="22" fillId="3" borderId="3" xfId="0" applyNumberFormat="1" applyFont="1" applyFill="1" applyBorder="1" applyAlignment="1" applyProtection="1">
      <alignment vertical="center" wrapText="1" shrinkToFit="1"/>
    </xf>
    <xf numFmtId="49" fontId="22" fillId="0" borderId="4" xfId="0" applyNumberFormat="1" applyFont="1" applyFill="1" applyBorder="1" applyAlignment="1" applyProtection="1">
      <alignment horizontal="left" vertical="center" wrapText="1" shrinkToFit="1"/>
    </xf>
    <xf numFmtId="3" fontId="22" fillId="0" borderId="30" xfId="0" applyNumberFormat="1" applyFont="1" applyFill="1" applyBorder="1" applyAlignment="1" applyProtection="1">
      <alignment horizontal="right" vertical="center" wrapText="1" shrinkToFit="1"/>
    </xf>
    <xf numFmtId="3" fontId="22" fillId="0" borderId="4" xfId="0" applyNumberFormat="1" applyFont="1" applyFill="1" applyBorder="1" applyAlignment="1" applyProtection="1">
      <alignment horizontal="center" vertical="center" wrapText="1" shrinkToFit="1"/>
    </xf>
    <xf numFmtId="3" fontId="22" fillId="0" borderId="16" xfId="0" applyNumberFormat="1" applyFont="1" applyFill="1" applyBorder="1" applyAlignment="1" applyProtection="1">
      <alignment horizontal="right" vertical="center" wrapText="1" shrinkToFit="1"/>
    </xf>
    <xf numFmtId="49" fontId="22" fillId="3" borderId="11" xfId="0" applyNumberFormat="1" applyFont="1" applyFill="1" applyBorder="1" applyAlignment="1" applyProtection="1">
      <alignment vertical="center" wrapText="1" shrinkToFit="1"/>
    </xf>
    <xf numFmtId="49" fontId="22" fillId="0" borderId="2" xfId="0" applyNumberFormat="1" applyFont="1" applyFill="1" applyBorder="1" applyAlignment="1" applyProtection="1">
      <alignment horizontal="left" vertical="center" wrapText="1" shrinkToFit="1"/>
    </xf>
    <xf numFmtId="3" fontId="22" fillId="0" borderId="15" xfId="0" applyNumberFormat="1" applyFont="1" applyFill="1" applyBorder="1" applyAlignment="1" applyProtection="1">
      <alignment horizontal="right" vertical="center" wrapText="1" shrinkToFit="1"/>
    </xf>
    <xf numFmtId="49" fontId="22" fillId="3" borderId="5" xfId="0" applyNumberFormat="1" applyFont="1" applyFill="1" applyBorder="1" applyAlignment="1" applyProtection="1">
      <alignment vertical="center" wrapText="1" shrinkToFit="1"/>
    </xf>
    <xf numFmtId="49" fontId="22" fillId="0" borderId="6" xfId="0" applyNumberFormat="1" applyFont="1" applyFill="1" applyBorder="1" applyAlignment="1" applyProtection="1">
      <alignment horizontal="left" vertical="center" wrapText="1" shrinkToFit="1"/>
    </xf>
    <xf numFmtId="3" fontId="22" fillId="0" borderId="44" xfId="0" applyNumberFormat="1" applyFont="1" applyFill="1" applyBorder="1" applyAlignment="1" applyProtection="1">
      <alignment horizontal="right" vertical="center" wrapText="1" shrinkToFit="1"/>
    </xf>
    <xf numFmtId="3" fontId="23" fillId="12" borderId="8" xfId="0" applyNumberFormat="1" applyFont="1" applyFill="1" applyBorder="1" applyAlignment="1" applyProtection="1">
      <alignment horizontal="right" vertical="center" wrapText="1" shrinkToFit="1"/>
    </xf>
    <xf numFmtId="3" fontId="23" fillId="12" borderId="7" xfId="0" applyNumberFormat="1" applyFont="1" applyFill="1" applyBorder="1" applyAlignment="1" applyProtection="1">
      <alignment horizontal="center" vertical="center" wrapText="1" shrinkToFit="1"/>
    </xf>
    <xf numFmtId="49" fontId="22" fillId="3" borderId="2" xfId="0" applyNumberFormat="1" applyFont="1" applyFill="1" applyBorder="1" applyAlignment="1" applyProtection="1">
      <alignment vertical="center" wrapText="1" shrinkToFit="1"/>
    </xf>
    <xf numFmtId="49" fontId="22" fillId="3" borderId="30" xfId="0" applyNumberFormat="1" applyFont="1" applyFill="1" applyBorder="1" applyAlignment="1" applyProtection="1">
      <alignment horizontal="left" vertical="center" wrapText="1" shrinkToFit="1"/>
    </xf>
    <xf numFmtId="3" fontId="22" fillId="3" borderId="30" xfId="0" applyNumberFormat="1" applyFont="1" applyFill="1" applyBorder="1" applyAlignment="1" applyProtection="1">
      <alignment horizontal="right" vertical="center" wrapText="1" shrinkToFit="1"/>
    </xf>
    <xf numFmtId="3" fontId="22" fillId="3" borderId="4" xfId="0" applyNumberFormat="1" applyFont="1" applyFill="1" applyBorder="1" applyAlignment="1" applyProtection="1">
      <alignment horizontal="center" vertical="center" wrapText="1" shrinkToFit="1"/>
    </xf>
    <xf numFmtId="3" fontId="22" fillId="3" borderId="16" xfId="0" applyNumberFormat="1" applyFont="1" applyFill="1" applyBorder="1" applyAlignment="1" applyProtection="1">
      <alignment horizontal="right" vertical="center" wrapText="1" shrinkToFit="1"/>
    </xf>
    <xf numFmtId="49" fontId="22" fillId="3" borderId="29" xfId="0" applyNumberFormat="1" applyFont="1" applyFill="1" applyBorder="1" applyAlignment="1" applyProtection="1">
      <alignment horizontal="left" vertical="center" wrapText="1" shrinkToFit="1"/>
    </xf>
    <xf numFmtId="3" fontId="22" fillId="3" borderId="29" xfId="0" applyNumberFormat="1" applyFont="1" applyFill="1" applyBorder="1" applyAlignment="1" applyProtection="1">
      <alignment horizontal="right" vertical="center" wrapText="1" shrinkToFit="1"/>
    </xf>
    <xf numFmtId="3" fontId="22" fillId="3" borderId="15" xfId="0" applyNumberFormat="1" applyFont="1" applyFill="1" applyBorder="1" applyAlignment="1" applyProtection="1">
      <alignment horizontal="right" vertical="center" wrapText="1" shrinkToFit="1"/>
    </xf>
    <xf numFmtId="3" fontId="22" fillId="0" borderId="29" xfId="0" applyNumberFormat="1" applyFont="1" applyFill="1" applyBorder="1" applyAlignment="1" applyProtection="1">
      <alignment horizontal="right" vertical="center" wrapText="1" shrinkToFit="1"/>
    </xf>
    <xf numFmtId="49" fontId="22" fillId="0" borderId="29" xfId="0" applyNumberFormat="1" applyFont="1" applyFill="1" applyBorder="1" applyAlignment="1" applyProtection="1">
      <alignment horizontal="left" vertical="center" wrapText="1" shrinkToFit="1"/>
    </xf>
    <xf numFmtId="49" fontId="22" fillId="0" borderId="2" xfId="0" applyNumberFormat="1" applyFont="1" applyFill="1" applyBorder="1" applyAlignment="1" applyProtection="1">
      <alignment vertical="center" wrapText="1" shrinkToFit="1"/>
    </xf>
    <xf numFmtId="49" fontId="22" fillId="0" borderId="11" xfId="0" applyNumberFormat="1" applyFont="1" applyFill="1" applyBorder="1" applyAlignment="1" applyProtection="1">
      <alignment vertical="center" wrapText="1" shrinkToFit="1"/>
    </xf>
    <xf numFmtId="49" fontId="22" fillId="0" borderId="5" xfId="0" applyNumberFormat="1" applyFont="1" applyFill="1" applyBorder="1" applyAlignment="1" applyProtection="1">
      <alignment vertical="center" wrapText="1" shrinkToFit="1"/>
    </xf>
    <xf numFmtId="3" fontId="22" fillId="0" borderId="20" xfId="0" applyNumberFormat="1" applyFont="1" applyFill="1" applyBorder="1" applyAlignment="1" applyProtection="1">
      <alignment horizontal="right" vertical="center" wrapText="1" shrinkToFit="1"/>
    </xf>
    <xf numFmtId="3" fontId="23" fillId="12" borderId="8" xfId="0" applyNumberFormat="1" applyFont="1" applyFill="1" applyBorder="1" applyAlignment="1" applyProtection="1">
      <alignment horizontal="center" vertical="center" wrapText="1" shrinkToFit="1"/>
    </xf>
    <xf numFmtId="3" fontId="21" fillId="11" borderId="7" xfId="0" applyNumberFormat="1" applyFont="1" applyFill="1" applyBorder="1"/>
    <xf numFmtId="3" fontId="21" fillId="11" borderId="7" xfId="0" applyNumberFormat="1" applyFont="1" applyFill="1" applyBorder="1" applyAlignment="1">
      <alignment horizontal="center"/>
    </xf>
    <xf numFmtId="49" fontId="22" fillId="0" borderId="21" xfId="0" applyNumberFormat="1" applyFont="1" applyFill="1" applyBorder="1" applyAlignment="1" applyProtection="1">
      <alignment horizontal="left" vertical="center" wrapText="1" shrinkToFit="1"/>
    </xf>
    <xf numFmtId="49" fontId="22" fillId="0" borderId="12" xfId="0" applyNumberFormat="1" applyFont="1" applyFill="1" applyBorder="1" applyAlignment="1" applyProtection="1">
      <alignment horizontal="left" vertical="center" wrapText="1" shrinkToFit="1"/>
    </xf>
    <xf numFmtId="3" fontId="22" fillId="0" borderId="47" xfId="0" applyNumberFormat="1" applyFont="1" applyFill="1" applyBorder="1" applyAlignment="1" applyProtection="1">
      <alignment horizontal="right" vertical="center" wrapText="1" shrinkToFit="1"/>
    </xf>
    <xf numFmtId="3" fontId="22" fillId="0" borderId="13" xfId="0" applyNumberFormat="1" applyFont="1" applyFill="1" applyBorder="1" applyAlignment="1" applyProtection="1">
      <alignment horizontal="right" vertical="center" wrapText="1" shrinkToFit="1"/>
    </xf>
    <xf numFmtId="49" fontId="22" fillId="0" borderId="18" xfId="0" applyNumberFormat="1" applyFont="1" applyFill="1" applyBorder="1" applyAlignment="1" applyProtection="1">
      <alignment horizontal="left" vertical="center" wrapText="1" shrinkToFit="1"/>
    </xf>
    <xf numFmtId="49" fontId="22" fillId="0" borderId="1" xfId="0" applyNumberFormat="1" applyFont="1" applyFill="1" applyBorder="1" applyAlignment="1" applyProtection="1">
      <alignment horizontal="left" vertical="center" wrapText="1" shrinkToFit="1"/>
    </xf>
    <xf numFmtId="3" fontId="22" fillId="0" borderId="51" xfId="0" applyNumberFormat="1" applyFont="1" applyFill="1" applyBorder="1" applyAlignment="1" applyProtection="1">
      <alignment horizontal="right" vertical="center" wrapText="1" shrinkToFit="1"/>
    </xf>
    <xf numFmtId="3" fontId="22" fillId="0" borderId="1" xfId="0" applyNumberFormat="1" applyFont="1" applyFill="1" applyBorder="1" applyAlignment="1" applyProtection="1">
      <alignment horizontal="right" vertical="center" wrapText="1" shrinkToFit="1"/>
    </xf>
    <xf numFmtId="3" fontId="22" fillId="0" borderId="19" xfId="0" applyNumberFormat="1" applyFont="1" applyFill="1" applyBorder="1" applyAlignment="1" applyProtection="1">
      <alignment horizontal="right" vertical="center" wrapText="1" shrinkToFit="1"/>
    </xf>
    <xf numFmtId="0" fontId="22" fillId="0" borderId="0" xfId="0" applyFont="1"/>
    <xf numFmtId="3" fontId="21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right"/>
    </xf>
    <xf numFmtId="3" fontId="22" fillId="0" borderId="17" xfId="2" applyNumberFormat="1" applyFont="1" applyFill="1" applyBorder="1" applyAlignment="1">
      <alignment horizontal="right" vertical="center"/>
      <protection locked="0"/>
    </xf>
    <xf numFmtId="0" fontId="22" fillId="0" borderId="4" xfId="0" applyFont="1" applyBorder="1"/>
    <xf numFmtId="3" fontId="22" fillId="0" borderId="2" xfId="2" applyNumberFormat="1" applyFont="1" applyFill="1" applyBorder="1" applyAlignment="1">
      <alignment horizontal="center" vertical="center"/>
      <protection locked="0"/>
    </xf>
    <xf numFmtId="0" fontId="22" fillId="0" borderId="2" xfId="0" applyFont="1" applyBorder="1"/>
    <xf numFmtId="49" fontId="24" fillId="0" borderId="11" xfId="1" applyNumberFormat="1" applyFont="1" applyBorder="1" applyAlignment="1">
      <alignment horizontal="right"/>
      <protection locked="0"/>
    </xf>
    <xf numFmtId="3" fontId="22" fillId="0" borderId="2" xfId="0" applyNumberFormat="1" applyFont="1" applyBorder="1"/>
    <xf numFmtId="3" fontId="22" fillId="0" borderId="15" xfId="1" applyNumberFormat="1" applyFont="1" applyBorder="1" applyAlignment="1">
      <alignment horizontal="right"/>
      <protection locked="0"/>
    </xf>
    <xf numFmtId="0" fontId="22" fillId="0" borderId="6" xfId="0" applyFont="1" applyBorder="1"/>
    <xf numFmtId="3" fontId="22" fillId="0" borderId="24" xfId="1" applyNumberFormat="1" applyFont="1" applyBorder="1" applyAlignment="1">
      <alignment horizontal="right"/>
      <protection locked="0"/>
    </xf>
    <xf numFmtId="49" fontId="23" fillId="0" borderId="14" xfId="0" applyNumberFormat="1" applyFont="1" applyBorder="1" applyAlignment="1">
      <alignment horizontal="right"/>
    </xf>
    <xf numFmtId="0" fontId="21" fillId="0" borderId="7" xfId="0" applyFont="1" applyBorder="1"/>
    <xf numFmtId="3" fontId="21" fillId="0" borderId="7" xfId="1" applyNumberFormat="1" applyFont="1" applyBorder="1" applyAlignment="1">
      <alignment horizontal="right"/>
      <protection locked="0"/>
    </xf>
    <xf numFmtId="3" fontId="22" fillId="0" borderId="45" xfId="2" applyNumberFormat="1" applyFont="1" applyFill="1" applyBorder="1" applyAlignment="1">
      <alignment horizontal="center" vertical="center"/>
      <protection locked="0"/>
    </xf>
    <xf numFmtId="3" fontId="21" fillId="0" borderId="8" xfId="1" applyNumberFormat="1" applyFont="1" applyBorder="1" applyAlignment="1">
      <alignment horizontal="right"/>
      <protection locked="0"/>
    </xf>
    <xf numFmtId="0" fontId="22" fillId="0" borderId="23" xfId="0" applyFont="1" applyBorder="1"/>
    <xf numFmtId="3" fontId="22" fillId="0" borderId="46" xfId="1" applyNumberFormat="1" applyFont="1" applyBorder="1">
      <protection locked="0"/>
    </xf>
    <xf numFmtId="49" fontId="24" fillId="0" borderId="22" xfId="1" applyNumberFormat="1" applyFont="1" applyBorder="1" applyAlignment="1">
      <alignment horizontal="right"/>
      <protection locked="0"/>
    </xf>
    <xf numFmtId="3" fontId="22" fillId="0" borderId="23" xfId="0" applyNumberFormat="1" applyFont="1" applyBorder="1"/>
    <xf numFmtId="3" fontId="21" fillId="15" borderId="7" xfId="1" applyNumberFormat="1" applyFont="1" applyFill="1" applyBorder="1">
      <protection locked="0"/>
    </xf>
    <xf numFmtId="3" fontId="21" fillId="15" borderId="38" xfId="1" applyNumberFormat="1" applyFont="1" applyFill="1" applyBorder="1">
      <protection locked="0"/>
    </xf>
    <xf numFmtId="3" fontId="21" fillId="15" borderId="38" xfId="1" applyNumberFormat="1" applyFont="1" applyFill="1" applyBorder="1" applyAlignment="1">
      <alignment horizontal="center"/>
      <protection locked="0"/>
    </xf>
    <xf numFmtId="3" fontId="21" fillId="14" borderId="8" xfId="1" applyNumberFormat="1" applyFont="1" applyFill="1" applyBorder="1" applyAlignment="1">
      <alignment horizontal="right"/>
      <protection locked="0"/>
    </xf>
    <xf numFmtId="3" fontId="21" fillId="14" borderId="8" xfId="1" applyNumberFormat="1" applyFont="1" applyFill="1" applyBorder="1" applyAlignment="1">
      <alignment horizontal="center"/>
      <protection locked="0"/>
    </xf>
    <xf numFmtId="0" fontId="8" fillId="0" borderId="29" xfId="0" applyFont="1" applyFill="1" applyBorder="1" applyAlignment="1" applyProtection="1">
      <alignment vertical="center" wrapText="1" readingOrder="1"/>
      <protection locked="0"/>
    </xf>
    <xf numFmtId="49" fontId="22" fillId="0" borderId="29" xfId="0" applyNumberFormat="1" applyFont="1" applyFill="1" applyBorder="1" applyAlignment="1" applyProtection="1">
      <alignment vertical="center" wrapText="1" shrinkToFit="1"/>
    </xf>
    <xf numFmtId="0" fontId="18" fillId="2" borderId="1" xfId="0" applyNumberFormat="1" applyFont="1" applyFill="1" applyBorder="1" applyAlignment="1" applyProtection="1">
      <alignment horizontal="center" vertical="center" wrapText="1" shrinkToFit="1"/>
    </xf>
    <xf numFmtId="3" fontId="10" fillId="14" borderId="25" xfId="0" applyNumberFormat="1" applyFont="1" applyFill="1" applyBorder="1" applyAlignment="1" applyProtection="1">
      <alignment vertical="center" wrapText="1" readingOrder="1"/>
      <protection locked="0"/>
    </xf>
    <xf numFmtId="3" fontId="7" fillId="16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25" xfId="0" applyNumberFormat="1" applyFont="1" applyFill="1" applyBorder="1" applyAlignment="1" applyProtection="1">
      <alignment vertical="center" wrapText="1" readingOrder="1"/>
      <protection locked="0"/>
    </xf>
    <xf numFmtId="3" fontId="8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17" xfId="0" applyNumberFormat="1" applyFont="1" applyFill="1" applyBorder="1" applyAlignment="1" applyProtection="1">
      <alignment vertical="center" wrapText="1" readingOrder="1"/>
      <protection locked="0"/>
    </xf>
    <xf numFmtId="3" fontId="8" fillId="0" borderId="4" xfId="0" applyNumberFormat="1" applyFont="1" applyFill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center"/>
    </xf>
    <xf numFmtId="49" fontId="24" fillId="0" borderId="3" xfId="0" applyNumberFormat="1" applyFont="1" applyBorder="1" applyAlignment="1">
      <alignment horizontal="right"/>
    </xf>
    <xf numFmtId="49" fontId="24" fillId="0" borderId="11" xfId="0" applyNumberFormat="1" applyFont="1" applyBorder="1" applyAlignment="1">
      <alignment horizontal="right"/>
    </xf>
    <xf numFmtId="49" fontId="24" fillId="0" borderId="5" xfId="0" applyNumberFormat="1" applyFont="1" applyBorder="1" applyAlignment="1">
      <alignment horizontal="right"/>
    </xf>
    <xf numFmtId="49" fontId="24" fillId="0" borderId="22" xfId="0" applyNumberFormat="1" applyFont="1" applyBorder="1" applyAlignment="1">
      <alignment horizontal="right"/>
    </xf>
    <xf numFmtId="0" fontId="18" fillId="2" borderId="1" xfId="0" applyNumberFormat="1" applyFont="1" applyFill="1" applyBorder="1" applyAlignment="1" applyProtection="1">
      <alignment horizontal="center" vertical="center" wrapText="1" shrinkToFit="1"/>
    </xf>
    <xf numFmtId="0" fontId="21" fillId="10" borderId="1" xfId="0" applyNumberFormat="1" applyFont="1" applyFill="1" applyBorder="1" applyAlignment="1" applyProtection="1">
      <alignment horizontal="center" vertical="center" wrapText="1" shrinkToFit="1"/>
    </xf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3" fontId="22" fillId="0" borderId="31" xfId="0" applyNumberFormat="1" applyFont="1" applyBorder="1"/>
    <xf numFmtId="3" fontId="22" fillId="0" borderId="46" xfId="0" applyNumberFormat="1" applyFont="1" applyBorder="1"/>
    <xf numFmtId="3" fontId="22" fillId="0" borderId="24" xfId="1" applyNumberFormat="1" applyFont="1" applyBorder="1" applyAlignment="1">
      <alignment horizontal="center"/>
      <protection locked="0"/>
    </xf>
    <xf numFmtId="3" fontId="19" fillId="3" borderId="23" xfId="0" applyNumberFormat="1" applyFont="1" applyFill="1" applyBorder="1" applyAlignment="1" applyProtection="1">
      <alignment horizontal="right" vertical="center" wrapText="1" shrinkToFit="1"/>
    </xf>
    <xf numFmtId="3" fontId="20" fillId="3" borderId="2" xfId="0" applyNumberFormat="1" applyFont="1" applyFill="1" applyBorder="1" applyAlignment="1" applyProtection="1">
      <alignment horizontal="right" vertical="center" wrapText="1" shrinkToFit="1"/>
    </xf>
    <xf numFmtId="3" fontId="20" fillId="3" borderId="6" xfId="0" applyNumberFormat="1" applyFont="1" applyFill="1" applyBorder="1" applyAlignment="1" applyProtection="1">
      <alignment horizontal="right" vertical="center" wrapText="1" shrinkToFit="1"/>
    </xf>
    <xf numFmtId="0" fontId="18" fillId="2" borderId="37" xfId="0" applyNumberFormat="1" applyFont="1" applyFill="1" applyBorder="1" applyAlignment="1" applyProtection="1">
      <alignment horizontal="center" vertical="center" wrapText="1" shrinkToFit="1"/>
    </xf>
    <xf numFmtId="3" fontId="23" fillId="12" borderId="38" xfId="0" applyNumberFormat="1" applyFont="1" applyFill="1" applyBorder="1" applyAlignment="1" applyProtection="1">
      <alignment horizontal="right" vertical="center" wrapText="1" shrinkToFit="1"/>
    </xf>
    <xf numFmtId="0" fontId="7" fillId="14" borderId="37" xfId="0" applyFont="1" applyFill="1" applyBorder="1" applyAlignment="1" applyProtection="1">
      <alignment horizontal="center" vertical="center" wrapText="1" readingOrder="1"/>
      <protection locked="0"/>
    </xf>
    <xf numFmtId="3" fontId="8" fillId="0" borderId="17" xfId="0" applyNumberFormat="1" applyFont="1" applyBorder="1" applyAlignment="1" applyProtection="1">
      <alignment vertical="center" wrapText="1" readingOrder="1"/>
      <protection locked="0"/>
    </xf>
    <xf numFmtId="3" fontId="8" fillId="0" borderId="19" xfId="0" applyNumberFormat="1" applyFont="1" applyBorder="1" applyAlignment="1" applyProtection="1">
      <alignment vertical="center" wrapText="1" readingOrder="1"/>
      <protection locked="0"/>
    </xf>
    <xf numFmtId="3" fontId="18" fillId="16" borderId="27" xfId="0" applyNumberFormat="1" applyFont="1" applyFill="1" applyBorder="1" applyAlignment="1">
      <alignment vertical="center" wrapText="1" readingOrder="1"/>
    </xf>
    <xf numFmtId="3" fontId="8" fillId="0" borderId="29" xfId="0" applyNumberFormat="1" applyFont="1" applyBorder="1" applyAlignment="1" applyProtection="1">
      <alignment vertical="center" wrapText="1" readingOrder="1"/>
      <protection locked="0"/>
    </xf>
    <xf numFmtId="3" fontId="8" fillId="0" borderId="29" xfId="0" applyNumberFormat="1" applyFont="1" applyFill="1" applyBorder="1" applyAlignment="1" applyProtection="1">
      <alignment vertical="center" wrapText="1" readingOrder="1"/>
      <protection locked="0"/>
    </xf>
    <xf numFmtId="3" fontId="8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2" fillId="0" borderId="10" xfId="0" applyNumberFormat="1" applyFont="1" applyFill="1" applyBorder="1" applyAlignment="1" applyProtection="1">
      <alignment horizontal="center" vertical="center" wrapText="1" shrinkToFit="1"/>
    </xf>
    <xf numFmtId="3" fontId="21" fillId="11" borderId="8" xfId="0" applyNumberFormat="1" applyFont="1" applyFill="1" applyBorder="1"/>
    <xf numFmtId="3" fontId="12" fillId="0" borderId="0" xfId="0" applyNumberFormat="1" applyFont="1"/>
    <xf numFmtId="1" fontId="21" fillId="15" borderId="41" xfId="2" applyNumberFormat="1" applyFont="1" applyFill="1" applyBorder="1" applyAlignment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 shrinkToFit="1"/>
    </xf>
    <xf numFmtId="49" fontId="8" fillId="0" borderId="32" xfId="0" applyNumberFormat="1" applyFont="1" applyBorder="1" applyAlignment="1" applyProtection="1">
      <alignment vertical="center" wrapText="1" readingOrder="1"/>
      <protection locked="0"/>
    </xf>
    <xf numFmtId="3" fontId="8" fillId="0" borderId="24" xfId="0" applyNumberFormat="1" applyFont="1" applyBorder="1" applyAlignment="1" applyProtection="1">
      <alignment vertical="center" wrapText="1" readingOrder="1"/>
      <protection locked="0"/>
    </xf>
    <xf numFmtId="49" fontId="8" fillId="0" borderId="34" xfId="0" applyNumberFormat="1" applyFont="1" applyBorder="1" applyAlignment="1" applyProtection="1">
      <alignment vertical="center" wrapText="1" readingOrder="1"/>
      <protection locked="0"/>
    </xf>
    <xf numFmtId="49" fontId="8" fillId="0" borderId="51" xfId="0" applyNumberFormat="1" applyFont="1" applyBorder="1" applyAlignment="1" applyProtection="1">
      <alignment vertical="center" wrapText="1" readingOrder="1"/>
      <protection locked="0"/>
    </xf>
    <xf numFmtId="0" fontId="8" fillId="0" borderId="45" xfId="0" applyFont="1" applyBorder="1" applyAlignment="1" applyProtection="1">
      <alignment vertical="center" wrapText="1" readingOrder="1"/>
      <protection locked="0"/>
    </xf>
    <xf numFmtId="49" fontId="8" fillId="0" borderId="58" xfId="0" applyNumberFormat="1" applyFont="1" applyBorder="1" applyAlignment="1" applyProtection="1">
      <alignment vertical="center" wrapText="1" readingOrder="1"/>
      <protection locked="0"/>
    </xf>
    <xf numFmtId="3" fontId="18" fillId="16" borderId="26" xfId="0" applyNumberFormat="1" applyFont="1" applyFill="1" applyBorder="1" applyAlignment="1">
      <alignment vertical="center" wrapText="1" readingOrder="1"/>
    </xf>
    <xf numFmtId="3" fontId="18" fillId="16" borderId="7" xfId="0" applyNumberFormat="1" applyFont="1" applyFill="1" applyBorder="1" applyAlignment="1">
      <alignment vertical="center" wrapText="1" readingOrder="1"/>
    </xf>
    <xf numFmtId="3" fontId="18" fillId="16" borderId="38" xfId="0" applyNumberFormat="1" applyFont="1" applyFill="1" applyBorder="1" applyAlignment="1">
      <alignment vertical="center" wrapText="1" readingOrder="1"/>
    </xf>
    <xf numFmtId="49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31" xfId="0" applyNumberFormat="1" applyFont="1" applyBorder="1" applyAlignment="1" applyProtection="1">
      <alignment vertical="center" wrapText="1" readingOrder="1"/>
      <protection locked="0"/>
    </xf>
    <xf numFmtId="3" fontId="8" fillId="0" borderId="34" xfId="0" applyNumberFormat="1" applyFont="1" applyBorder="1" applyAlignment="1" applyProtection="1">
      <alignment vertical="center" wrapText="1" readingOrder="1"/>
      <protection locked="0"/>
    </xf>
    <xf numFmtId="3" fontId="8" fillId="0" borderId="51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vertical="center" wrapText="1" readingOrder="1"/>
      <protection locked="0"/>
    </xf>
    <xf numFmtId="3" fontId="8" fillId="0" borderId="45" xfId="0" applyNumberFormat="1" applyFont="1" applyBorder="1" applyAlignment="1" applyProtection="1">
      <alignment vertical="center" wrapText="1" readingOrder="1"/>
      <protection locked="0"/>
    </xf>
    <xf numFmtId="0" fontId="7" fillId="0" borderId="43" xfId="0" applyFont="1" applyFill="1" applyBorder="1" applyAlignment="1" applyProtection="1">
      <alignment horizontal="center" vertical="center" wrapText="1" readingOrder="1"/>
      <protection locked="0"/>
    </xf>
    <xf numFmtId="0" fontId="7" fillId="0" borderId="6" xfId="0" applyFont="1" applyFill="1" applyBorder="1" applyAlignment="1" applyProtection="1">
      <alignment horizontal="center" vertical="center" wrapText="1" readingOrder="1"/>
      <protection locked="0"/>
    </xf>
    <xf numFmtId="49" fontId="8" fillId="0" borderId="9" xfId="0" applyNumberFormat="1" applyFont="1" applyBorder="1" applyAlignment="1" applyProtection="1">
      <alignment vertical="center" wrapText="1" readingOrder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49" fontId="8" fillId="18" borderId="5" xfId="0" applyNumberFormat="1" applyFont="1" applyFill="1" applyBorder="1" applyAlignment="1" applyProtection="1">
      <alignment vertical="center" wrapText="1" readingOrder="1"/>
      <protection locked="0"/>
    </xf>
    <xf numFmtId="0" fontId="8" fillId="18" borderId="2" xfId="0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8" borderId="11" xfId="0" applyNumberFormat="1" applyFont="1" applyFill="1" applyBorder="1" applyAlignment="1" applyProtection="1">
      <alignment vertical="center" wrapText="1" readingOrder="1"/>
      <protection locked="0"/>
    </xf>
    <xf numFmtId="49" fontId="8" fillId="18" borderId="2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vertical="center" wrapText="1" readingOrder="1"/>
      <protection locked="0"/>
    </xf>
    <xf numFmtId="3" fontId="22" fillId="0" borderId="2" xfId="0" applyNumberFormat="1" applyFont="1" applyFill="1" applyBorder="1" applyAlignment="1" applyProtection="1">
      <alignment horizontal="right" vertical="center" wrapText="1" shrinkToFit="1"/>
    </xf>
    <xf numFmtId="3" fontId="19" fillId="3" borderId="2" xfId="0" applyNumberFormat="1" applyFont="1" applyFill="1" applyBorder="1" applyAlignment="1" applyProtection="1">
      <alignment horizontal="right" vertical="center" wrapText="1" shrinkToFit="1"/>
    </xf>
    <xf numFmtId="3" fontId="22" fillId="0" borderId="16" xfId="2" applyNumberFormat="1" applyFont="1" applyFill="1" applyBorder="1" applyAlignment="1">
      <alignment horizontal="right" vertical="center"/>
      <protection locked="0"/>
    </xf>
    <xf numFmtId="1" fontId="21" fillId="14" borderId="20" xfId="2" applyNumberFormat="1" applyFont="1" applyFill="1" applyBorder="1" applyAlignment="1">
      <alignment horizontal="center" vertical="center" wrapText="1"/>
      <protection locked="0"/>
    </xf>
    <xf numFmtId="49" fontId="23" fillId="0" borderId="48" xfId="1" applyNumberFormat="1" applyFont="1" applyBorder="1" applyAlignment="1">
      <alignment horizontal="center"/>
      <protection locked="0"/>
    </xf>
    <xf numFmtId="3" fontId="21" fillId="0" borderId="49" xfId="0" applyNumberFormat="1" applyFont="1" applyBorder="1"/>
    <xf numFmtId="3" fontId="21" fillId="0" borderId="50" xfId="1" applyNumberFormat="1" applyFont="1" applyBorder="1" applyAlignment="1">
      <alignment horizontal="right"/>
      <protection locked="0"/>
    </xf>
    <xf numFmtId="3" fontId="21" fillId="0" borderId="50" xfId="1" applyNumberFormat="1" applyFont="1" applyBorder="1" applyAlignment="1">
      <alignment horizontal="center"/>
      <protection locked="0"/>
    </xf>
    <xf numFmtId="0" fontId="0" fillId="0" borderId="2" xfId="0" applyBorder="1"/>
    <xf numFmtId="49" fontId="22" fillId="0" borderId="9" xfId="2" applyNumberFormat="1" applyFont="1" applyFill="1" applyBorder="1" applyAlignment="1">
      <alignment horizontal="right" vertical="center"/>
      <protection locked="0"/>
    </xf>
    <xf numFmtId="3" fontId="22" fillId="0" borderId="10" xfId="0" applyNumberFormat="1" applyFont="1" applyBorder="1"/>
    <xf numFmtId="3" fontId="22" fillId="0" borderId="10" xfId="2" applyNumberFormat="1" applyFont="1" applyFill="1" applyBorder="1" applyAlignment="1">
      <alignment horizontal="center" vertical="center"/>
      <protection locked="0"/>
    </xf>
    <xf numFmtId="49" fontId="24" fillId="0" borderId="11" xfId="2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15" xfId="0" applyBorder="1"/>
    <xf numFmtId="49" fontId="24" fillId="0" borderId="9" xfId="0" applyNumberFormat="1" applyFont="1" applyBorder="1" applyAlignment="1">
      <alignment horizontal="right"/>
    </xf>
    <xf numFmtId="0" fontId="22" fillId="0" borderId="10" xfId="0" applyFont="1" applyBorder="1"/>
    <xf numFmtId="3" fontId="22" fillId="0" borderId="45" xfId="0" applyNumberFormat="1" applyFont="1" applyBorder="1"/>
    <xf numFmtId="3" fontId="22" fillId="0" borderId="16" xfId="2" applyNumberFormat="1" applyFont="1" applyBorder="1">
      <protection locked="0"/>
    </xf>
    <xf numFmtId="3" fontId="22" fillId="0" borderId="15" xfId="1" applyNumberFormat="1" applyFont="1" applyBorder="1">
      <protection locked="0"/>
    </xf>
    <xf numFmtId="3" fontId="22" fillId="0" borderId="20" xfId="1" applyNumberFormat="1" applyFont="1" applyBorder="1">
      <protection locked="0"/>
    </xf>
    <xf numFmtId="3" fontId="22" fillId="0" borderId="38" xfId="2" applyNumberFormat="1" applyFont="1" applyFill="1" applyBorder="1" applyAlignment="1">
      <alignment horizontal="center" vertical="center"/>
      <protection locked="0"/>
    </xf>
    <xf numFmtId="0" fontId="0" fillId="0" borderId="34" xfId="0" applyBorder="1"/>
    <xf numFmtId="0" fontId="9" fillId="0" borderId="0" xfId="0" applyFont="1"/>
    <xf numFmtId="3" fontId="0" fillId="0" borderId="62" xfId="0" applyNumberFormat="1" applyBorder="1"/>
    <xf numFmtId="3" fontId="8" fillId="0" borderId="23" xfId="0" applyNumberFormat="1" applyFont="1" applyFill="1" applyBorder="1" applyAlignment="1" applyProtection="1">
      <alignment vertical="center" wrapText="1" readingOrder="1"/>
      <protection locked="0"/>
    </xf>
    <xf numFmtId="3" fontId="8" fillId="0" borderId="23" xfId="0" applyNumberFormat="1" applyFont="1" applyBorder="1" applyAlignment="1" applyProtection="1">
      <alignment vertical="center" wrapText="1" readingOrder="1"/>
      <protection locked="0"/>
    </xf>
    <xf numFmtId="0" fontId="8" fillId="0" borderId="7" xfId="0" applyFont="1" applyFill="1" applyBorder="1" applyAlignment="1" applyProtection="1">
      <alignment vertical="center" wrapText="1" readingOrder="1"/>
      <protection locked="0"/>
    </xf>
    <xf numFmtId="3" fontId="12" fillId="19" borderId="0" xfId="0" applyNumberFormat="1" applyFont="1" applyFill="1" applyAlignment="1">
      <alignment horizontal="left"/>
    </xf>
    <xf numFmtId="3" fontId="8" fillId="0" borderId="10" xfId="0" applyNumberFormat="1" applyFont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49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50" xfId="0" applyNumberFormat="1" applyFont="1" applyBorder="1" applyAlignment="1" applyProtection="1">
      <alignment vertical="center" wrapText="1" readingOrder="1"/>
      <protection locked="0"/>
    </xf>
    <xf numFmtId="49" fontId="22" fillId="3" borderId="4" xfId="0" applyNumberFormat="1" applyFont="1" applyFill="1" applyBorder="1" applyAlignment="1" applyProtection="1">
      <alignment vertical="center" wrapText="1" shrinkToFit="1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9" borderId="9" xfId="0" applyFont="1" applyFill="1" applyBorder="1" applyAlignment="1" applyProtection="1">
      <alignment vertical="center" wrapText="1" readingOrder="1"/>
      <protection locked="0"/>
    </xf>
    <xf numFmtId="3" fontId="25" fillId="19" borderId="3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16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17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11" xfId="0" applyFont="1" applyFill="1" applyBorder="1" applyAlignment="1" applyProtection="1">
      <alignment vertical="center" wrapText="1" readingOrder="1"/>
      <protection locked="0"/>
    </xf>
    <xf numFmtId="3" fontId="25" fillId="19" borderId="15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11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9" xfId="0" applyNumberFormat="1" applyFont="1" applyFill="1" applyBorder="1" applyAlignment="1" applyProtection="1">
      <alignment vertical="center" wrapText="1" readingOrder="1"/>
      <protection locked="0"/>
    </xf>
    <xf numFmtId="3" fontId="7" fillId="16" borderId="48" xfId="0" applyNumberFormat="1" applyFont="1" applyFill="1" applyBorder="1" applyAlignment="1" applyProtection="1">
      <alignment vertical="center" wrapText="1" readingOrder="1"/>
      <protection locked="0"/>
    </xf>
    <xf numFmtId="3" fontId="7" fillId="16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6" borderId="5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9" borderId="18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19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58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60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50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3" xfId="0" applyFont="1" applyFill="1" applyBorder="1" applyAlignment="1" applyProtection="1">
      <alignment vertical="center" wrapText="1" readingOrder="1"/>
      <protection locked="0"/>
    </xf>
    <xf numFmtId="49" fontId="25" fillId="19" borderId="5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0" xfId="0" applyNumberFormat="1" applyFont="1" applyFill="1" applyBorder="1" applyAlignment="1" applyProtection="1">
      <alignment vertical="center" wrapText="1" readingOrder="1"/>
      <protection locked="0"/>
    </xf>
    <xf numFmtId="49" fontId="25" fillId="19" borderId="3" xfId="0" applyNumberFormat="1" applyFont="1" applyFill="1" applyBorder="1" applyAlignment="1" applyProtection="1">
      <alignment vertical="center" wrapText="1" readingOrder="1"/>
      <protection locked="0"/>
    </xf>
    <xf numFmtId="0" fontId="7" fillId="0" borderId="20" xfId="0" applyFont="1" applyFill="1" applyBorder="1" applyAlignment="1" applyProtection="1">
      <alignment horizontal="right" vertical="center" wrapText="1" readingOrder="1"/>
      <protection locked="0"/>
    </xf>
    <xf numFmtId="3" fontId="8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25" fillId="19" borderId="3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4" xfId="0" applyNumberFormat="1" applyFont="1" applyFill="1" applyBorder="1" applyAlignment="1" applyProtection="1">
      <alignment vertical="center" wrapText="1" readingOrder="1"/>
      <protection locked="0"/>
    </xf>
    <xf numFmtId="3" fontId="23" fillId="12" borderId="13" xfId="0" applyNumberFormat="1" applyFont="1" applyFill="1" applyBorder="1" applyAlignment="1" applyProtection="1">
      <alignment horizontal="right" vertical="center" wrapText="1" shrinkToFit="1"/>
    </xf>
    <xf numFmtId="3" fontId="23" fillId="12" borderId="13" xfId="0" applyNumberFormat="1" applyFont="1" applyFill="1" applyBorder="1" applyAlignment="1" applyProtection="1">
      <alignment horizontal="center" vertical="center" wrapText="1" shrinkToFit="1"/>
    </xf>
    <xf numFmtId="0" fontId="25" fillId="19" borderId="22" xfId="0" applyFont="1" applyFill="1" applyBorder="1" applyAlignment="1" applyProtection="1">
      <alignment vertical="center" wrapText="1" readingOrder="1"/>
      <protection locked="0"/>
    </xf>
    <xf numFmtId="0" fontId="25" fillId="19" borderId="5" xfId="0" applyFont="1" applyFill="1" applyBorder="1" applyAlignment="1" applyProtection="1">
      <alignment vertical="center" wrapText="1" readingOrder="1"/>
      <protection locked="0"/>
    </xf>
    <xf numFmtId="49" fontId="25" fillId="19" borderId="32" xfId="0" applyNumberFormat="1" applyFont="1" applyFill="1" applyBorder="1" applyAlignment="1" applyProtection="1">
      <alignment vertical="center" wrapText="1" readingOrder="1"/>
      <protection locked="0"/>
    </xf>
    <xf numFmtId="0" fontId="25" fillId="19" borderId="7" xfId="0" applyFont="1" applyFill="1" applyBorder="1" applyAlignment="1" applyProtection="1">
      <alignment vertical="center" wrapText="1" readingOrder="1"/>
      <protection locked="0"/>
    </xf>
    <xf numFmtId="3" fontId="25" fillId="19" borderId="23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23" xfId="0" applyNumberFormat="1" applyFont="1" applyFill="1" applyBorder="1" applyAlignment="1" applyProtection="1">
      <alignment horizontal="center" vertical="center" wrapText="1" readingOrder="1"/>
      <protection locked="0"/>
    </xf>
    <xf numFmtId="3" fontId="22" fillId="19" borderId="16" xfId="0" applyNumberFormat="1" applyFont="1" applyFill="1" applyBorder="1" applyAlignment="1" applyProtection="1">
      <alignment vertical="center" wrapText="1" shrinkToFit="1"/>
    </xf>
    <xf numFmtId="49" fontId="25" fillId="19" borderId="9" xfId="0" applyNumberFormat="1" applyFont="1" applyFill="1" applyBorder="1" applyAlignment="1" applyProtection="1">
      <alignment vertical="center" wrapText="1" readingOrder="1"/>
      <protection locked="0"/>
    </xf>
    <xf numFmtId="3" fontId="25" fillId="19" borderId="44" xfId="0" applyNumberFormat="1" applyFont="1" applyFill="1" applyBorder="1" applyAlignment="1" applyProtection="1">
      <alignment vertical="center" wrapText="1" readingOrder="1"/>
      <protection locked="0"/>
    </xf>
    <xf numFmtId="3" fontId="8" fillId="0" borderId="34" xfId="0" applyNumberFormat="1" applyFont="1" applyFill="1" applyBorder="1" applyAlignment="1" applyProtection="1">
      <alignment vertical="center" wrapText="1" readingOrder="1"/>
      <protection locked="0"/>
    </xf>
    <xf numFmtId="49" fontId="24" fillId="0" borderId="9" xfId="1" applyNumberFormat="1" applyFont="1" applyBorder="1" applyAlignment="1">
      <alignment horizontal="right"/>
      <protection locked="0"/>
    </xf>
    <xf numFmtId="3" fontId="21" fillId="0" borderId="45" xfId="1" applyNumberFormat="1" applyFont="1" applyBorder="1" applyAlignment="1">
      <alignment horizontal="right"/>
      <protection locked="0"/>
    </xf>
    <xf numFmtId="3" fontId="21" fillId="0" borderId="17" xfId="1" applyNumberFormat="1" applyFont="1" applyBorder="1" applyAlignment="1">
      <alignment horizontal="center"/>
      <protection locked="0"/>
    </xf>
    <xf numFmtId="3" fontId="21" fillId="0" borderId="17" xfId="1" applyNumberFormat="1" applyFont="1" applyBorder="1" applyAlignment="1">
      <alignment horizontal="right"/>
      <protection locked="0"/>
    </xf>
    <xf numFmtId="3" fontId="22" fillId="0" borderId="31" xfId="2" applyNumberFormat="1" applyFont="1" applyFill="1" applyBorder="1" applyAlignment="1">
      <alignment horizontal="center" vertical="center"/>
      <protection locked="0"/>
    </xf>
    <xf numFmtId="49" fontId="23" fillId="0" borderId="9" xfId="0" applyNumberFormat="1" applyFont="1" applyBorder="1" applyAlignment="1">
      <alignment horizontal="right"/>
    </xf>
    <xf numFmtId="0" fontId="21" fillId="0" borderId="10" xfId="0" applyFont="1" applyBorder="1"/>
    <xf numFmtId="3" fontId="21" fillId="0" borderId="10" xfId="1" applyNumberFormat="1" applyFont="1" applyBorder="1" applyAlignment="1">
      <alignment horizontal="right"/>
      <protection locked="0"/>
    </xf>
    <xf numFmtId="0" fontId="26" fillId="19" borderId="43" xfId="0" applyFont="1" applyFill="1" applyBorder="1" applyAlignment="1" applyProtection="1">
      <alignment horizontal="center" vertical="center" wrapText="1" readingOrder="1"/>
      <protection locked="0"/>
    </xf>
    <xf numFmtId="0" fontId="26" fillId="19" borderId="6" xfId="0" applyFont="1" applyFill="1" applyBorder="1" applyAlignment="1" applyProtection="1">
      <alignment horizontal="center" vertical="center" wrapText="1" readingOrder="1"/>
      <protection locked="0"/>
    </xf>
    <xf numFmtId="9" fontId="0" fillId="0" borderId="0" xfId="0" applyNumberFormat="1"/>
    <xf numFmtId="165" fontId="25" fillId="19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45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10" xfId="0" applyNumberFormat="1" applyFont="1" applyFill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3" fontId="8" fillId="0" borderId="62" xfId="0" applyNumberFormat="1" applyFont="1" applyFill="1" applyBorder="1" applyAlignment="1" applyProtection="1">
      <alignment vertical="center" wrapText="1" readingOrder="1"/>
      <protection locked="0"/>
    </xf>
    <xf numFmtId="3" fontId="22" fillId="0" borderId="46" xfId="0" applyNumberFormat="1" applyFont="1" applyFill="1" applyBorder="1" applyAlignment="1" applyProtection="1">
      <alignment horizontal="right" vertical="center" wrapText="1" shrinkToFit="1"/>
    </xf>
    <xf numFmtId="3" fontId="22" fillId="0" borderId="10" xfId="0" applyNumberFormat="1" applyFont="1" applyFill="1" applyBorder="1" applyAlignment="1" applyProtection="1">
      <alignment horizontal="right" vertical="center" wrapText="1" shrinkToFit="1"/>
    </xf>
    <xf numFmtId="3" fontId="8" fillId="0" borderId="1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Fill="1" applyBorder="1" applyAlignment="1" applyProtection="1">
      <alignment vertical="center" wrapText="1" readingOrder="1"/>
      <protection locked="0"/>
    </xf>
    <xf numFmtId="3" fontId="22" fillId="0" borderId="12" xfId="2" applyNumberFormat="1" applyFont="1" applyFill="1" applyBorder="1" applyAlignment="1">
      <alignment horizontal="center" vertical="center"/>
      <protection locked="0"/>
    </xf>
    <xf numFmtId="3" fontId="22" fillId="0" borderId="4" xfId="2" applyNumberFormat="1" applyFont="1" applyFill="1" applyBorder="1" applyAlignment="1">
      <alignment horizontal="center" vertical="center"/>
      <protection locked="0"/>
    </xf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3" fontId="8" fillId="0" borderId="42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vertical="center" wrapText="1" readingOrder="1"/>
      <protection locked="0"/>
    </xf>
    <xf numFmtId="3" fontId="19" fillId="0" borderId="31" xfId="0" applyNumberFormat="1" applyFont="1" applyFill="1" applyBorder="1" applyAlignment="1" applyProtection="1">
      <alignment horizontal="right" vertical="center" wrapText="1" shrinkToFit="1"/>
    </xf>
    <xf numFmtId="3" fontId="19" fillId="3" borderId="31" xfId="0" applyNumberFormat="1" applyFont="1" applyFill="1" applyBorder="1" applyAlignment="1" applyProtection="1">
      <alignment horizontal="right" vertical="center" wrapText="1" shrinkToFit="1"/>
    </xf>
    <xf numFmtId="3" fontId="19" fillId="3" borderId="10" xfId="0" applyNumberFormat="1" applyFont="1" applyFill="1" applyBorder="1" applyAlignment="1" applyProtection="1">
      <alignment horizontal="right" vertical="center" wrapText="1" shrinkToFit="1"/>
    </xf>
    <xf numFmtId="3" fontId="19" fillId="3" borderId="49" xfId="0" applyNumberFormat="1" applyFont="1" applyFill="1" applyBorder="1" applyAlignment="1" applyProtection="1">
      <alignment horizontal="right" vertical="center" wrapText="1" shrinkToFit="1"/>
    </xf>
    <xf numFmtId="3" fontId="8" fillId="0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24" xfId="0" applyNumberFormat="1" applyFont="1" applyFill="1" applyBorder="1" applyAlignment="1" applyProtection="1">
      <alignment vertical="center" wrapText="1" readingOrder="1"/>
      <protection locked="0"/>
    </xf>
    <xf numFmtId="9" fontId="25" fillId="19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31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4" xfId="0" applyNumberFormat="1" applyFont="1" applyFill="1" applyBorder="1" applyAlignment="1" applyProtection="1">
      <alignment vertical="center" wrapText="1" readingOrder="1"/>
      <protection locked="0"/>
    </xf>
    <xf numFmtId="165" fontId="25" fillId="19" borderId="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37" xfId="0" applyNumberFormat="1" applyFont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3" fontId="22" fillId="0" borderId="30" xfId="0" applyNumberFormat="1" applyFont="1" applyFill="1" applyBorder="1" applyAlignment="1" applyProtection="1">
      <alignment horizontal="center" vertical="center" wrapText="1" shrinkToFit="1"/>
    </xf>
    <xf numFmtId="49" fontId="22" fillId="3" borderId="9" xfId="0" applyNumberFormat="1" applyFont="1" applyFill="1" applyBorder="1" applyAlignment="1" applyProtection="1">
      <alignment vertical="center" wrapText="1" shrinkToFit="1"/>
    </xf>
    <xf numFmtId="49" fontId="22" fillId="0" borderId="10" xfId="0" applyNumberFormat="1" applyFont="1" applyFill="1" applyBorder="1" applyAlignment="1" applyProtection="1">
      <alignment horizontal="left" vertical="center" wrapText="1" shrinkToFit="1"/>
    </xf>
    <xf numFmtId="3" fontId="22" fillId="0" borderId="56" xfId="0" applyNumberFormat="1" applyFont="1" applyFill="1" applyBorder="1" applyAlignment="1" applyProtection="1">
      <alignment horizontal="right" vertical="center" wrapText="1" shrinkToFit="1"/>
    </xf>
    <xf numFmtId="3" fontId="22" fillId="0" borderId="17" xfId="0" applyNumberFormat="1" applyFont="1" applyFill="1" applyBorder="1" applyAlignment="1" applyProtection="1">
      <alignment horizontal="right" vertical="center" wrapText="1" shrinkToFit="1"/>
    </xf>
    <xf numFmtId="3" fontId="22" fillId="0" borderId="65" xfId="0" applyNumberFormat="1" applyFont="1" applyFill="1" applyBorder="1" applyAlignment="1" applyProtection="1">
      <alignment horizontal="right" vertical="center" wrapText="1" shrinkToFit="1"/>
    </xf>
    <xf numFmtId="49" fontId="22" fillId="3" borderId="48" xfId="0" applyNumberFormat="1" applyFont="1" applyFill="1" applyBorder="1" applyAlignment="1" applyProtection="1">
      <alignment vertical="center" wrapText="1" shrinkToFit="1"/>
    </xf>
    <xf numFmtId="49" fontId="22" fillId="0" borderId="49" xfId="0" applyNumberFormat="1" applyFont="1" applyFill="1" applyBorder="1" applyAlignment="1" applyProtection="1">
      <alignment horizontal="left" vertical="center" wrapText="1" shrinkToFit="1"/>
    </xf>
    <xf numFmtId="3" fontId="22" fillId="0" borderId="60" xfId="0" applyNumberFormat="1" applyFont="1" applyFill="1" applyBorder="1" applyAlignment="1" applyProtection="1">
      <alignment horizontal="right" vertical="center" wrapText="1" shrinkToFit="1"/>
    </xf>
    <xf numFmtId="3" fontId="22" fillId="0" borderId="49" xfId="0" applyNumberFormat="1" applyFont="1" applyFill="1" applyBorder="1" applyAlignment="1" applyProtection="1">
      <alignment horizontal="center" vertical="center" wrapText="1" shrinkToFit="1"/>
    </xf>
    <xf numFmtId="3" fontId="22" fillId="0" borderId="50" xfId="0" applyNumberFormat="1" applyFont="1" applyFill="1" applyBorder="1" applyAlignment="1" applyProtection="1">
      <alignment horizontal="right" vertical="center" wrapText="1" shrinkToFit="1"/>
    </xf>
    <xf numFmtId="3" fontId="18" fillId="4" borderId="38" xfId="0" applyNumberFormat="1" applyFont="1" applyFill="1" applyBorder="1"/>
    <xf numFmtId="3" fontId="18" fillId="4" borderId="39" xfId="0" applyNumberFormat="1" applyFont="1" applyFill="1" applyBorder="1" applyAlignment="1">
      <alignment horizontal="center"/>
    </xf>
    <xf numFmtId="3" fontId="18" fillId="4" borderId="7" xfId="0" applyNumberFormat="1" applyFont="1" applyFill="1" applyBorder="1"/>
    <xf numFmtId="3" fontId="19" fillId="3" borderId="0" xfId="0" applyNumberFormat="1" applyFont="1" applyFill="1" applyBorder="1" applyAlignment="1" applyProtection="1">
      <alignment vertical="center" wrapText="1" shrinkToFit="1"/>
    </xf>
    <xf numFmtId="1" fontId="21" fillId="14" borderId="42" xfId="2" applyNumberFormat="1" applyFont="1" applyFill="1" applyBorder="1" applyAlignment="1">
      <alignment horizontal="center" vertical="center" wrapText="1"/>
      <protection locked="0"/>
    </xf>
    <xf numFmtId="1" fontId="21" fillId="14" borderId="59" xfId="2" applyNumberFormat="1" applyFont="1" applyFill="1" applyBorder="1" applyAlignment="1">
      <alignment horizontal="center" vertical="center" wrapText="1"/>
      <protection locked="0"/>
    </xf>
    <xf numFmtId="49" fontId="24" fillId="0" borderId="18" xfId="1" applyNumberFormat="1" applyFont="1" applyBorder="1" applyAlignment="1">
      <alignment horizontal="right"/>
      <protection locked="0"/>
    </xf>
    <xf numFmtId="3" fontId="22" fillId="0" borderId="1" xfId="0" applyNumberFormat="1" applyFont="1" applyBorder="1"/>
    <xf numFmtId="3" fontId="22" fillId="0" borderId="1" xfId="1" applyNumberFormat="1" applyFont="1" applyBorder="1" applyAlignment="1">
      <alignment horizontal="right"/>
      <protection locked="0"/>
    </xf>
    <xf numFmtId="3" fontId="22" fillId="0" borderId="19" xfId="1" applyNumberFormat="1" applyFont="1" applyBorder="1" applyAlignment="1">
      <alignment horizontal="right"/>
      <protection locked="0"/>
    </xf>
    <xf numFmtId="1" fontId="21" fillId="14" borderId="6" xfId="2" applyNumberFormat="1" applyFont="1" applyFill="1" applyBorder="1" applyAlignment="1">
      <alignment horizontal="center" vertical="center" wrapText="1"/>
      <protection locked="0"/>
    </xf>
    <xf numFmtId="0" fontId="2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2" fillId="15" borderId="18" xfId="0" applyFont="1" applyFill="1" applyBorder="1" applyAlignment="1">
      <alignment horizontal="center" wrapText="1"/>
    </xf>
    <xf numFmtId="0" fontId="22" fillId="15" borderId="1" xfId="0" applyFont="1" applyFill="1" applyBorder="1" applyAlignment="1">
      <alignment horizontal="center" wrapText="1"/>
    </xf>
    <xf numFmtId="1" fontId="22" fillId="14" borderId="61" xfId="2" applyNumberFormat="1" applyFont="1" applyFill="1" applyBorder="1" applyAlignment="1">
      <alignment horizontal="center" vertical="center" wrapText="1"/>
      <protection locked="0"/>
    </xf>
    <xf numFmtId="0" fontId="22" fillId="14" borderId="43" xfId="0" applyFont="1" applyFill="1" applyBorder="1" applyAlignment="1">
      <alignment horizontal="center" vertical="center" wrapText="1"/>
    </xf>
    <xf numFmtId="49" fontId="21" fillId="15" borderId="26" xfId="0" applyNumberFormat="1" applyFont="1" applyFill="1" applyBorder="1" applyAlignment="1"/>
    <xf numFmtId="49" fontId="22" fillId="15" borderId="39" xfId="0" applyNumberFormat="1" applyFont="1" applyFill="1" applyBorder="1" applyAlignment="1"/>
    <xf numFmtId="3" fontId="21" fillId="14" borderId="26" xfId="0" applyNumberFormat="1" applyFont="1" applyFill="1" applyBorder="1" applyAlignment="1"/>
    <xf numFmtId="0" fontId="22" fillId="14" borderId="39" xfId="0" applyFont="1" applyFill="1" applyBorder="1" applyAlignment="1"/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21" fillId="15" borderId="40" xfId="0" applyFont="1" applyFill="1" applyBorder="1" applyAlignment="1">
      <alignment horizontal="center" vertical="center"/>
    </xf>
    <xf numFmtId="0" fontId="22" fillId="15" borderId="35" xfId="0" applyFont="1" applyFill="1" applyBorder="1" applyAlignment="1"/>
    <xf numFmtId="0" fontId="21" fillId="14" borderId="40" xfId="0" applyFont="1" applyFill="1" applyBorder="1" applyAlignment="1">
      <alignment horizontal="center" vertical="center"/>
    </xf>
    <xf numFmtId="0" fontId="22" fillId="14" borderId="35" xfId="0" applyFont="1" applyFill="1" applyBorder="1" applyAlignment="1">
      <alignment horizontal="center" vertical="center"/>
    </xf>
    <xf numFmtId="0" fontId="22" fillId="14" borderId="36" xfId="0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 applyProtection="1">
      <alignment horizontal="left" vertical="center" wrapText="1" shrinkToFit="1"/>
    </xf>
    <xf numFmtId="0" fontId="19" fillId="0" borderId="22" xfId="0" applyFont="1" applyBorder="1" applyAlignment="1">
      <alignment horizontal="left" vertical="center" wrapText="1" shrinkToFit="1"/>
    </xf>
    <xf numFmtId="0" fontId="18" fillId="4" borderId="1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17" borderId="52" xfId="0" applyFont="1" applyFill="1" applyBorder="1" applyAlignment="1">
      <alignment horizontal="center"/>
    </xf>
    <xf numFmtId="0" fontId="21" fillId="17" borderId="53" xfId="0" applyFont="1" applyFill="1" applyBorder="1" applyAlignment="1">
      <alignment horizontal="center"/>
    </xf>
    <xf numFmtId="0" fontId="21" fillId="17" borderId="54" xfId="0" applyFont="1" applyFill="1" applyBorder="1" applyAlignment="1">
      <alignment horizontal="center"/>
    </xf>
    <xf numFmtId="0" fontId="18" fillId="2" borderId="11" xfId="0" applyNumberFormat="1" applyFont="1" applyFill="1" applyBorder="1" applyAlignment="1" applyProtection="1">
      <alignment horizontal="center" vertical="center" wrapText="1" shrinkToFit="1"/>
    </xf>
    <xf numFmtId="0" fontId="18" fillId="2" borderId="18" xfId="0" applyNumberFormat="1" applyFont="1" applyFill="1" applyBorder="1" applyAlignment="1" applyProtection="1">
      <alignment horizontal="center" vertical="center" wrapText="1" shrinkToFit="1"/>
    </xf>
    <xf numFmtId="0" fontId="18" fillId="2" borderId="2" xfId="0" applyNumberFormat="1" applyFont="1" applyFill="1" applyBorder="1" applyAlignment="1" applyProtection="1">
      <alignment horizontal="center" vertical="center" wrapText="1" shrinkToFit="1"/>
    </xf>
    <xf numFmtId="0" fontId="18" fillId="2" borderId="1" xfId="0" applyNumberFormat="1" applyFont="1" applyFill="1" applyBorder="1" applyAlignment="1" applyProtection="1">
      <alignment horizontal="center" vertical="center" wrapText="1" shrinkToFit="1"/>
    </xf>
    <xf numFmtId="0" fontId="18" fillId="2" borderId="34" xfId="0" applyNumberFormat="1" applyFont="1" applyFill="1" applyBorder="1" applyAlignment="1" applyProtection="1">
      <alignment horizontal="center" vertical="center" wrapText="1" shrinkToFit="1"/>
    </xf>
    <xf numFmtId="0" fontId="0" fillId="0" borderId="5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5" borderId="9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21" fillId="17" borderId="0" xfId="0" applyFont="1" applyFill="1" applyBorder="1" applyAlignment="1">
      <alignment horizontal="center"/>
    </xf>
    <xf numFmtId="0" fontId="18" fillId="5" borderId="40" xfId="0" applyFont="1" applyFill="1" applyBorder="1" applyAlignment="1">
      <alignment horizontal="center"/>
    </xf>
    <xf numFmtId="0" fontId="18" fillId="5" borderId="35" xfId="0" applyFont="1" applyFill="1" applyBorder="1" applyAlignment="1">
      <alignment horizontal="center"/>
    </xf>
    <xf numFmtId="0" fontId="18" fillId="5" borderId="36" xfId="0" applyFont="1" applyFill="1" applyBorder="1" applyAlignment="1">
      <alignment horizontal="center"/>
    </xf>
    <xf numFmtId="49" fontId="23" fillId="12" borderId="14" xfId="0" applyNumberFormat="1" applyFont="1" applyFill="1" applyBorder="1" applyAlignment="1" applyProtection="1">
      <alignment horizontal="center" vertical="center" wrapText="1" shrinkToFit="1"/>
    </xf>
    <xf numFmtId="49" fontId="23" fillId="12" borderId="7" xfId="0" applyNumberFormat="1" applyFont="1" applyFill="1" applyBorder="1" applyAlignment="1" applyProtection="1">
      <alignment horizontal="center" vertical="center" wrapText="1" shrinkToFit="1"/>
    </xf>
    <xf numFmtId="49" fontId="21" fillId="11" borderId="14" xfId="0" applyNumberFormat="1" applyFont="1" applyFill="1" applyBorder="1" applyAlignment="1" applyProtection="1">
      <alignment horizontal="center" vertical="center" wrapText="1" shrinkToFit="1"/>
    </xf>
    <xf numFmtId="49" fontId="21" fillId="11" borderId="7" xfId="0" applyNumberFormat="1" applyFont="1" applyFill="1" applyBorder="1" applyAlignment="1" applyProtection="1">
      <alignment horizontal="center" vertical="center" wrapText="1" shrinkToFit="1"/>
    </xf>
    <xf numFmtId="0" fontId="21" fillId="12" borderId="21" xfId="0" applyFont="1" applyFill="1" applyBorder="1" applyAlignment="1">
      <alignment horizontal="center"/>
    </xf>
    <xf numFmtId="0" fontId="21" fillId="12" borderId="12" xfId="0" applyFont="1" applyFill="1" applyBorder="1" applyAlignment="1">
      <alignment horizontal="center"/>
    </xf>
    <xf numFmtId="0" fontId="21" fillId="12" borderId="13" xfId="0" applyFont="1" applyFill="1" applyBorder="1" applyAlignment="1">
      <alignment horizontal="center"/>
    </xf>
    <xf numFmtId="0" fontId="21" fillId="10" borderId="9" xfId="0" applyNumberFormat="1" applyFont="1" applyFill="1" applyBorder="1" applyAlignment="1" applyProtection="1">
      <alignment horizontal="center" vertical="center" wrapText="1" shrinkToFit="1"/>
    </xf>
    <xf numFmtId="0" fontId="21" fillId="10" borderId="18" xfId="0" applyNumberFormat="1" applyFont="1" applyFill="1" applyBorder="1" applyAlignment="1" applyProtection="1">
      <alignment horizontal="center" vertical="center" wrapText="1" shrinkToFit="1"/>
    </xf>
    <xf numFmtId="0" fontId="21" fillId="10" borderId="10" xfId="0" applyNumberFormat="1" applyFont="1" applyFill="1" applyBorder="1" applyAlignment="1" applyProtection="1">
      <alignment horizontal="center" vertical="center" wrapText="1" shrinkToFit="1"/>
    </xf>
    <xf numFmtId="0" fontId="21" fillId="10" borderId="1" xfId="0" applyNumberFormat="1" applyFont="1" applyFill="1" applyBorder="1" applyAlignment="1" applyProtection="1">
      <alignment horizontal="center" vertical="center" wrapText="1" shrinkToFit="1"/>
    </xf>
    <xf numFmtId="0" fontId="21" fillId="10" borderId="45" xfId="0" applyNumberFormat="1" applyFont="1" applyFill="1" applyBorder="1" applyAlignment="1" applyProtection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2" fillId="19" borderId="0" xfId="0" applyFont="1" applyFill="1" applyAlignment="1">
      <alignment horizontal="right"/>
    </xf>
    <xf numFmtId="49" fontId="7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0" fontId="7" fillId="16" borderId="26" xfId="0" applyFont="1" applyFill="1" applyBorder="1" applyAlignment="1" applyProtection="1">
      <alignment vertical="center" wrapText="1" readingOrder="1"/>
      <protection locked="0"/>
    </xf>
    <xf numFmtId="0" fontId="7" fillId="14" borderId="14" xfId="0" applyFont="1" applyFill="1" applyBorder="1" applyAlignment="1" applyProtection="1">
      <alignment horizontal="center" vertical="center" wrapText="1" readingOrder="1"/>
      <protection locked="0"/>
    </xf>
    <xf numFmtId="0" fontId="7" fillId="14" borderId="38" xfId="0" applyFont="1" applyFill="1" applyBorder="1" applyAlignment="1" applyProtection="1">
      <alignment horizontal="center" vertical="center" wrapText="1" readingOrder="1"/>
      <protection locked="0"/>
    </xf>
    <xf numFmtId="0" fontId="7" fillId="7" borderId="9" xfId="0" applyFont="1" applyFill="1" applyBorder="1" applyAlignment="1" applyProtection="1">
      <alignment horizontal="center" wrapText="1" readingOrder="1"/>
      <protection locked="0"/>
    </xf>
    <xf numFmtId="0" fontId="7" fillId="7" borderId="10" xfId="0" applyFont="1" applyFill="1" applyBorder="1" applyAlignment="1" applyProtection="1">
      <alignment horizontal="center" wrapText="1" readingOrder="1"/>
      <protection locked="0"/>
    </xf>
    <xf numFmtId="0" fontId="7" fillId="7" borderId="17" xfId="0" applyFont="1" applyFill="1" applyBorder="1" applyAlignment="1" applyProtection="1">
      <alignment horizontal="center" wrapText="1" readingOrder="1"/>
      <protection locked="0"/>
    </xf>
    <xf numFmtId="0" fontId="7" fillId="14" borderId="11" xfId="0" applyFont="1" applyFill="1" applyBorder="1" applyAlignment="1" applyProtection="1">
      <alignment horizontal="center" vertical="center" wrapText="1" readingOrder="1"/>
      <protection locked="0"/>
    </xf>
    <xf numFmtId="0" fontId="7" fillId="14" borderId="18" xfId="0" applyFont="1" applyFill="1" applyBorder="1" applyAlignment="1" applyProtection="1">
      <alignment horizontal="center" vertical="center" wrapText="1" readingOrder="1"/>
      <protection locked="0"/>
    </xf>
    <xf numFmtId="0" fontId="7" fillId="14" borderId="2" xfId="0" applyFont="1" applyFill="1" applyBorder="1" applyAlignment="1" applyProtection="1">
      <alignment horizontal="center" vertical="center" wrapText="1" readingOrder="1"/>
      <protection locked="0"/>
    </xf>
    <xf numFmtId="0" fontId="7" fillId="14" borderId="1" xfId="0" applyFont="1" applyFill="1" applyBorder="1" applyAlignment="1" applyProtection="1">
      <alignment horizontal="center" vertical="center" wrapText="1" readingOrder="1"/>
      <protection locked="0"/>
    </xf>
    <xf numFmtId="0" fontId="7" fillId="14" borderId="34" xfId="0" applyFont="1" applyFill="1" applyBorder="1" applyAlignment="1" applyProtection="1">
      <alignment horizontal="center" vertical="center" wrapText="1" readingOrder="1"/>
      <protection locked="0"/>
    </xf>
    <xf numFmtId="0" fontId="7" fillId="14" borderId="9" xfId="0" applyFont="1" applyFill="1" applyBorder="1" applyAlignment="1" applyProtection="1">
      <alignment horizontal="center" vertical="center" wrapText="1" readingOrder="1"/>
      <protection locked="0"/>
    </xf>
    <xf numFmtId="0" fontId="7" fillId="14" borderId="10" xfId="0" applyFont="1" applyFill="1" applyBorder="1" applyAlignment="1" applyProtection="1">
      <alignment horizontal="center" vertical="center" wrapText="1" readingOrder="1"/>
      <protection locked="0"/>
    </xf>
    <xf numFmtId="0" fontId="7" fillId="7" borderId="26" xfId="0" applyFont="1" applyFill="1" applyBorder="1" applyAlignment="1" applyProtection="1">
      <alignment horizontal="center" wrapText="1" readingOrder="1"/>
      <protection locked="0"/>
    </xf>
    <xf numFmtId="0" fontId="7" fillId="7" borderId="27" xfId="0" applyFont="1" applyFill="1" applyBorder="1" applyAlignment="1" applyProtection="1">
      <alignment horizontal="center" wrapText="1" readingOrder="1"/>
      <protection locked="0"/>
    </xf>
    <xf numFmtId="0" fontId="7" fillId="7" borderId="28" xfId="0" applyFont="1" applyFill="1" applyBorder="1" applyAlignment="1" applyProtection="1">
      <alignment horizontal="center" wrapText="1" readingOrder="1"/>
      <protection locked="0"/>
    </xf>
    <xf numFmtId="0" fontId="21" fillId="8" borderId="0" xfId="0" applyFont="1" applyFill="1" applyBorder="1" applyAlignment="1">
      <alignment horizontal="center"/>
    </xf>
    <xf numFmtId="0" fontId="7" fillId="14" borderId="48" xfId="0" applyFont="1" applyFill="1" applyBorder="1" applyAlignment="1" applyProtection="1">
      <alignment horizontal="center" vertical="center" wrapText="1" readingOrder="1"/>
      <protection locked="0"/>
    </xf>
    <xf numFmtId="0" fontId="7" fillId="14" borderId="49" xfId="0" applyFont="1" applyFill="1" applyBorder="1" applyAlignment="1" applyProtection="1">
      <alignment horizontal="center"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0" fontId="25" fillId="19" borderId="31" xfId="0" applyFont="1" applyFill="1" applyBorder="1" applyAlignment="1" applyProtection="1">
      <alignment horizontal="left" vertical="center" wrapText="1" readingOrder="1"/>
      <protection locked="0"/>
    </xf>
    <xf numFmtId="0" fontId="25" fillId="19" borderId="62" xfId="0" applyFont="1" applyFill="1" applyBorder="1" applyAlignment="1" applyProtection="1">
      <alignment horizontal="left" vertical="center" wrapText="1" readingOrder="1"/>
      <protection locked="0"/>
    </xf>
    <xf numFmtId="0" fontId="25" fillId="19" borderId="30" xfId="0" applyFont="1" applyFill="1" applyBorder="1" applyAlignment="1" applyProtection="1">
      <alignment horizontal="left" vertical="center" wrapText="1" readingOrder="1"/>
      <protection locked="0"/>
    </xf>
    <xf numFmtId="0" fontId="25" fillId="19" borderId="34" xfId="0" applyFont="1" applyFill="1" applyBorder="1" applyAlignment="1" applyProtection="1">
      <alignment horizontal="left" vertical="center" wrapText="1" readingOrder="1"/>
      <protection locked="0"/>
    </xf>
    <xf numFmtId="0" fontId="25" fillId="19" borderId="55" xfId="0" applyFont="1" applyFill="1" applyBorder="1" applyAlignment="1" applyProtection="1">
      <alignment horizontal="left" vertical="center" wrapText="1" readingOrder="1"/>
      <protection locked="0"/>
    </xf>
    <xf numFmtId="0" fontId="25" fillId="19" borderId="29" xfId="0" applyFont="1" applyFill="1" applyBorder="1" applyAlignment="1" applyProtection="1">
      <alignment horizontal="left" vertical="center" wrapText="1" readingOrder="1"/>
      <protection locked="0"/>
    </xf>
    <xf numFmtId="3" fontId="8" fillId="0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29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34" xfId="0" applyFont="1" applyFill="1" applyBorder="1" applyAlignment="1" applyProtection="1">
      <alignment horizontal="left" vertical="center" wrapText="1" readingOrder="1"/>
      <protection locked="0"/>
    </xf>
    <xf numFmtId="0" fontId="8" fillId="0" borderId="55" xfId="0" applyFont="1" applyFill="1" applyBorder="1" applyAlignment="1" applyProtection="1">
      <alignment horizontal="left" vertical="center" wrapText="1" readingOrder="1"/>
      <protection locked="0"/>
    </xf>
    <xf numFmtId="0" fontId="8" fillId="0" borderId="29" xfId="0" applyFont="1" applyFill="1" applyBorder="1" applyAlignment="1" applyProtection="1">
      <alignment horizontal="left" vertical="center" wrapText="1" readingOrder="1"/>
      <protection locked="0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49" fontId="25" fillId="19" borderId="2" xfId="0" applyNumberFormat="1" applyFont="1" applyFill="1" applyBorder="1" applyAlignment="1" applyProtection="1">
      <alignment horizontal="left" vertical="center" wrapText="1" readingOrder="1"/>
      <protection locked="0"/>
    </xf>
    <xf numFmtId="3" fontId="25" fillId="19" borderId="51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37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19" borderId="2" xfId="0" applyFont="1" applyFill="1" applyBorder="1" applyAlignment="1" applyProtection="1">
      <alignment horizontal="left"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49" fontId="8" fillId="0" borderId="2" xfId="0" applyNumberFormat="1" applyFont="1" applyBorder="1" applyAlignment="1" applyProtection="1">
      <alignment horizontal="left" vertical="center" wrapText="1" readingOrder="1"/>
      <protection locked="0"/>
    </xf>
    <xf numFmtId="0" fontId="7" fillId="7" borderId="52" xfId="0" applyFont="1" applyFill="1" applyBorder="1" applyAlignment="1" applyProtection="1">
      <alignment horizontal="center" wrapText="1" readingOrder="1"/>
      <protection locked="0"/>
    </xf>
    <xf numFmtId="0" fontId="7" fillId="7" borderId="53" xfId="0" applyFont="1" applyFill="1" applyBorder="1" applyAlignment="1" applyProtection="1">
      <alignment horizontal="center" wrapText="1" readingOrder="1"/>
      <protection locked="0"/>
    </xf>
    <xf numFmtId="0" fontId="7" fillId="7" borderId="54" xfId="0" applyFont="1" applyFill="1" applyBorder="1" applyAlignment="1" applyProtection="1">
      <alignment horizontal="center" wrapText="1" readingOrder="1"/>
      <protection locked="0"/>
    </xf>
    <xf numFmtId="0" fontId="25" fillId="19" borderId="51" xfId="0" applyFont="1" applyFill="1" applyBorder="1" applyAlignment="1" applyProtection="1">
      <alignment horizontal="left" vertical="center" wrapText="1" readingOrder="1"/>
      <protection locked="0"/>
    </xf>
    <xf numFmtId="0" fontId="25" fillId="19" borderId="63" xfId="0" applyFont="1" applyFill="1" applyBorder="1" applyAlignment="1" applyProtection="1">
      <alignment horizontal="left" vertical="center" wrapText="1" readingOrder="1"/>
      <protection locked="0"/>
    </xf>
    <xf numFmtId="0" fontId="25" fillId="19" borderId="37" xfId="0" applyFont="1" applyFill="1" applyBorder="1" applyAlignment="1" applyProtection="1">
      <alignment horizontal="left" vertical="center" wrapText="1" readingOrder="1"/>
      <protection locked="0"/>
    </xf>
    <xf numFmtId="0" fontId="25" fillId="19" borderId="45" xfId="0" applyFont="1" applyFill="1" applyBorder="1" applyAlignment="1" applyProtection="1">
      <alignment horizontal="left" vertical="center" wrapText="1" readingOrder="1"/>
      <protection locked="0"/>
    </xf>
    <xf numFmtId="0" fontId="25" fillId="19" borderId="35" xfId="0" applyFont="1" applyFill="1" applyBorder="1" applyAlignment="1" applyProtection="1">
      <alignment horizontal="left" vertical="center" wrapText="1" readingOrder="1"/>
      <protection locked="0"/>
    </xf>
    <xf numFmtId="0" fontId="25" fillId="19" borderId="56" xfId="0" applyFont="1" applyFill="1" applyBorder="1" applyAlignment="1" applyProtection="1">
      <alignment horizontal="left" vertical="center" wrapText="1" readingOrder="1"/>
      <protection locked="0"/>
    </xf>
    <xf numFmtId="0" fontId="25" fillId="19" borderId="41" xfId="0" applyFont="1" applyFill="1" applyBorder="1" applyAlignment="1" applyProtection="1">
      <alignment horizontal="left" vertical="center" wrapText="1" readingOrder="1"/>
      <protection locked="0"/>
    </xf>
    <xf numFmtId="0" fontId="25" fillId="19" borderId="57" xfId="0" applyFont="1" applyFill="1" applyBorder="1" applyAlignment="1" applyProtection="1">
      <alignment horizontal="left" vertical="center" wrapText="1" readingOrder="1"/>
      <protection locked="0"/>
    </xf>
    <xf numFmtId="0" fontId="25" fillId="19" borderId="60" xfId="0" applyFont="1" applyFill="1" applyBorder="1" applyAlignment="1" applyProtection="1">
      <alignment horizontal="left" vertical="center" wrapText="1" readingOrder="1"/>
      <protection locked="0"/>
    </xf>
    <xf numFmtId="0" fontId="7" fillId="14" borderId="42" xfId="0" applyFont="1" applyFill="1" applyBorder="1" applyAlignment="1" applyProtection="1">
      <alignment horizontal="center" vertical="center" wrapText="1" readingOrder="1"/>
      <protection locked="0"/>
    </xf>
    <xf numFmtId="0" fontId="7" fillId="14" borderId="59" xfId="0" applyFont="1" applyFill="1" applyBorder="1" applyAlignment="1" applyProtection="1">
      <alignment horizontal="center" vertical="center" wrapText="1" readingOrder="1"/>
      <protection locked="0"/>
    </xf>
    <xf numFmtId="0" fontId="7" fillId="14" borderId="43" xfId="0" applyFont="1" applyFill="1" applyBorder="1" applyAlignment="1" applyProtection="1">
      <alignment horizontal="center" vertical="center" wrapText="1" readingOrder="1"/>
      <protection locked="0"/>
    </xf>
    <xf numFmtId="0" fontId="7" fillId="14" borderId="41" xfId="0" applyFont="1" applyFill="1" applyBorder="1" applyAlignment="1" applyProtection="1">
      <alignment horizontal="center" vertical="center" wrapText="1" readingOrder="1"/>
      <protection locked="0"/>
    </xf>
    <xf numFmtId="0" fontId="7" fillId="14" borderId="57" xfId="0" applyFont="1" applyFill="1" applyBorder="1" applyAlignment="1" applyProtection="1">
      <alignment horizontal="center" vertical="center" wrapText="1" readingOrder="1"/>
      <protection locked="0"/>
    </xf>
    <xf numFmtId="0" fontId="7" fillId="14" borderId="60" xfId="0" applyFont="1" applyFill="1" applyBorder="1" applyAlignment="1" applyProtection="1">
      <alignment horizontal="center" vertical="center" wrapText="1" readingOrder="1"/>
      <protection locked="0"/>
    </xf>
    <xf numFmtId="49" fontId="7" fillId="16" borderId="58" xfId="0" applyNumberFormat="1" applyFont="1" applyFill="1" applyBorder="1" applyAlignment="1" applyProtection="1">
      <alignment vertical="center" wrapText="1" readingOrder="1"/>
      <protection locked="0"/>
    </xf>
    <xf numFmtId="0" fontId="3" fillId="16" borderId="64" xfId="0" applyFont="1" applyFill="1" applyBorder="1" applyAlignment="1">
      <alignment vertical="center" wrapText="1" readingOrder="1"/>
    </xf>
    <xf numFmtId="0" fontId="25" fillId="19" borderId="38" xfId="0" applyFont="1" applyFill="1" applyBorder="1" applyAlignment="1" applyProtection="1">
      <alignment horizontal="left" vertical="center" wrapText="1" readingOrder="1"/>
      <protection locked="0"/>
    </xf>
    <xf numFmtId="0" fontId="25" fillId="19" borderId="27" xfId="0" applyFont="1" applyFill="1" applyBorder="1" applyAlignment="1" applyProtection="1">
      <alignment horizontal="left" vertical="center" wrapText="1" readingOrder="1"/>
      <protection locked="0"/>
    </xf>
    <xf numFmtId="0" fontId="25" fillId="19" borderId="39" xfId="0" applyFont="1" applyFill="1" applyBorder="1" applyAlignment="1" applyProtection="1">
      <alignment horizontal="left" vertical="center" wrapText="1" readingOrder="1"/>
      <protection locked="0"/>
    </xf>
    <xf numFmtId="3" fontId="25" fillId="19" borderId="45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9" borderId="56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9" borderId="5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63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37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55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29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4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57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60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9" borderId="1" xfId="0" applyNumberFormat="1" applyFont="1" applyFill="1" applyBorder="1" applyAlignment="1" applyProtection="1">
      <alignment horizontal="left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Normal="100" workbookViewId="0">
      <selection activeCell="H23" sqref="H23"/>
    </sheetView>
  </sheetViews>
  <sheetFormatPr defaultRowHeight="12.75" x14ac:dyDescent="0.2"/>
  <cols>
    <col min="1" max="1" width="7.140625" customWidth="1"/>
    <col min="2" max="2" width="30.42578125" customWidth="1"/>
    <col min="3" max="3" width="10.5703125" customWidth="1"/>
    <col min="4" max="4" width="9.140625" customWidth="1"/>
    <col min="5" max="5" width="6.42578125" customWidth="1"/>
    <col min="6" max="6" width="10.5703125" customWidth="1"/>
    <col min="7" max="7" width="6.140625" customWidth="1"/>
    <col min="8" max="8" width="28.28515625" customWidth="1"/>
    <col min="9" max="9" width="11.85546875" customWidth="1"/>
    <col min="10" max="10" width="9.140625" customWidth="1"/>
    <col min="11" max="11" width="6.7109375" customWidth="1"/>
    <col min="12" max="12" width="10.7109375" customWidth="1"/>
    <col min="13" max="14" width="11.5703125" bestFit="1" customWidth="1"/>
  </cols>
  <sheetData>
    <row r="1" spans="1:14" x14ac:dyDescent="0.2">
      <c r="J1" s="378"/>
      <c r="K1" s="378"/>
      <c r="L1" s="379"/>
    </row>
    <row r="2" spans="1:14" x14ac:dyDescent="0.2">
      <c r="A2" s="145"/>
      <c r="B2" s="388" t="s">
        <v>175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</row>
    <row r="3" spans="1:14" x14ac:dyDescent="0.2">
      <c r="A3" s="145"/>
      <c r="B3" s="389" t="s">
        <v>173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</row>
    <row r="4" spans="1:14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4" x14ac:dyDescent="0.2">
      <c r="A5" s="145"/>
      <c r="B5" s="388" t="s">
        <v>48</v>
      </c>
      <c r="C5" s="388"/>
      <c r="D5" s="388"/>
      <c r="E5" s="388"/>
      <c r="F5" s="388"/>
      <c r="G5" s="388"/>
      <c r="H5" s="388"/>
      <c r="I5" s="388"/>
      <c r="J5" s="388"/>
      <c r="K5" s="388"/>
      <c r="L5" s="388"/>
    </row>
    <row r="6" spans="1:14" ht="13.5" thickBot="1" x14ac:dyDescent="0.25">
      <c r="A6" s="145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7" t="s">
        <v>51</v>
      </c>
    </row>
    <row r="7" spans="1:14" x14ac:dyDescent="0.2">
      <c r="A7" s="390" t="s">
        <v>34</v>
      </c>
      <c r="B7" s="391"/>
      <c r="C7" s="391"/>
      <c r="D7" s="391"/>
      <c r="E7" s="391"/>
      <c r="F7" s="391"/>
      <c r="G7" s="392" t="s">
        <v>38</v>
      </c>
      <c r="H7" s="393"/>
      <c r="I7" s="393"/>
      <c r="J7" s="393"/>
      <c r="K7" s="393"/>
      <c r="L7" s="394"/>
    </row>
    <row r="8" spans="1:14" ht="36.75" customHeight="1" thickBot="1" x14ac:dyDescent="0.25">
      <c r="A8" s="380" t="s">
        <v>52</v>
      </c>
      <c r="B8" s="381"/>
      <c r="C8" s="206" t="s">
        <v>120</v>
      </c>
      <c r="D8" s="206" t="s">
        <v>117</v>
      </c>
      <c r="E8" s="206" t="s">
        <v>58</v>
      </c>
      <c r="F8" s="206" t="s">
        <v>176</v>
      </c>
      <c r="G8" s="382" t="s">
        <v>52</v>
      </c>
      <c r="H8" s="383"/>
      <c r="I8" s="371" t="s">
        <v>120</v>
      </c>
      <c r="J8" s="377" t="s">
        <v>117</v>
      </c>
      <c r="K8" s="372" t="s">
        <v>58</v>
      </c>
      <c r="L8" s="237" t="s">
        <v>176</v>
      </c>
    </row>
    <row r="9" spans="1:14" ht="18.75" customHeight="1" x14ac:dyDescent="0.2">
      <c r="A9" s="249" t="s">
        <v>132</v>
      </c>
      <c r="B9" s="250" t="s">
        <v>133</v>
      </c>
      <c r="C9" s="251">
        <f>SUM('Bevételek(Óvoda 2020)'!C8/1000)</f>
        <v>0</v>
      </c>
      <c r="D9" s="251">
        <f>SUM('Bevételek(Óvoda 2020)'!D8/1000)</f>
        <v>0</v>
      </c>
      <c r="E9" s="245">
        <v>0</v>
      </c>
      <c r="F9" s="148">
        <f>SUM('Bevételek(Óvoda 2020)'!F8/1000)</f>
        <v>0</v>
      </c>
      <c r="G9" s="243" t="s">
        <v>60</v>
      </c>
      <c r="H9" s="244" t="s">
        <v>35</v>
      </c>
      <c r="I9" s="244">
        <f>SUM('Kiadások(Óvoda 2020)'!C18/1000)</f>
        <v>54936</v>
      </c>
      <c r="J9" s="244">
        <f>SUM('Kiadások(Óvoda 2020)'!D18/1000)</f>
        <v>10327</v>
      </c>
      <c r="K9" s="334">
        <f>L9/I9*100</f>
        <v>118.7982379496141</v>
      </c>
      <c r="L9" s="148">
        <f>SUM('Kiadások(Óvoda 2020)'!F18/1000)</f>
        <v>65263</v>
      </c>
    </row>
    <row r="10" spans="1:14" ht="19.5" customHeight="1" x14ac:dyDescent="0.2">
      <c r="A10" s="181" t="s">
        <v>100</v>
      </c>
      <c r="B10" s="149" t="s">
        <v>66</v>
      </c>
      <c r="C10" s="188">
        <f>SUM('Bevételek(Óvoda 2020)'!C9/1000)</f>
        <v>0</v>
      </c>
      <c r="D10" s="188">
        <f>SUM('Bevételek(Óvoda 2020)'!D9/1000)</f>
        <v>0</v>
      </c>
      <c r="E10" s="150">
        <v>0</v>
      </c>
      <c r="F10" s="236">
        <f>SUM('Bevételek(Óvoda 2020)'!F9/1000)</f>
        <v>0</v>
      </c>
      <c r="G10" s="246" t="s">
        <v>53</v>
      </c>
      <c r="H10" s="153" t="s">
        <v>43</v>
      </c>
      <c r="I10" s="153">
        <f>SUM('Kiadások(Óvoda 2020)'!C21/1000)</f>
        <v>8524</v>
      </c>
      <c r="J10" s="153">
        <f>SUM('Kiadások(Óvoda 2020)'!D21/1000)</f>
        <v>1056</v>
      </c>
      <c r="K10" s="150">
        <f t="shared" ref="K10:K11" si="0">L10/I10*100</f>
        <v>112.38854997653685</v>
      </c>
      <c r="L10" s="154">
        <f>SUM('Kiadások(Óvoda 2020)'!F21/1000)</f>
        <v>9580</v>
      </c>
    </row>
    <row r="11" spans="1:14" ht="19.5" customHeight="1" x14ac:dyDescent="0.2">
      <c r="A11" s="181" t="s">
        <v>130</v>
      </c>
      <c r="B11" s="149" t="s">
        <v>131</v>
      </c>
      <c r="C11" s="188">
        <f>SUM('Bevételek(Óvoda 2020)'!C10/1000)</f>
        <v>0</v>
      </c>
      <c r="D11" s="188">
        <f>SUM('Bevételek(Óvoda 2020)'!D10/1000)</f>
        <v>0</v>
      </c>
      <c r="E11" s="150">
        <v>0</v>
      </c>
      <c r="F11" s="236">
        <f>SUM('Bevételek(Óvoda 2020)'!F10/1000)</f>
        <v>0</v>
      </c>
      <c r="G11" s="152" t="s">
        <v>54</v>
      </c>
      <c r="H11" s="153" t="s">
        <v>37</v>
      </c>
      <c r="I11" s="153">
        <f>SUM('Kiadások(Óvoda 2020)'!C33/1000)</f>
        <v>8629.9599999999991</v>
      </c>
      <c r="J11" s="153">
        <f>SUM('Kiadások(Óvoda 2020)'!D33/1000)</f>
        <v>4368.04</v>
      </c>
      <c r="K11" s="335">
        <f t="shared" si="0"/>
        <v>150.61483483121592</v>
      </c>
      <c r="L11" s="154">
        <f>SUM('Kiadások(Óvoda 2020)'!F33/1000)</f>
        <v>12998</v>
      </c>
    </row>
    <row r="12" spans="1:14" ht="20.100000000000001" customHeight="1" x14ac:dyDescent="0.2">
      <c r="A12" s="181" t="s">
        <v>62</v>
      </c>
      <c r="B12" s="149" t="s">
        <v>95</v>
      </c>
      <c r="C12" s="188">
        <f>SUM('Bevételek(Óvoda 2020)'!C11/1000)</f>
        <v>0</v>
      </c>
      <c r="D12" s="188">
        <f>SUM('Bevételek(Óvoda 2020)'!D11/1000)</f>
        <v>0</v>
      </c>
      <c r="E12" s="150">
        <v>0</v>
      </c>
      <c r="F12" s="252">
        <f>SUM('Bevételek(Óvoda 2020)'!F11/1000)</f>
        <v>0</v>
      </c>
      <c r="G12" s="21"/>
      <c r="H12" s="256"/>
      <c r="I12" s="256"/>
      <c r="J12" s="256"/>
      <c r="K12" s="242"/>
      <c r="L12" s="248"/>
      <c r="M12" s="28"/>
      <c r="N12" s="28"/>
    </row>
    <row r="13" spans="1:14" ht="18.75" customHeight="1" x14ac:dyDescent="0.25">
      <c r="A13" s="182" t="s">
        <v>56</v>
      </c>
      <c r="B13" s="151" t="s">
        <v>42</v>
      </c>
      <c r="C13" s="153">
        <f>SUM('Bevételek(Óvoda 2020)'!C14/1000)</f>
        <v>65659.87</v>
      </c>
      <c r="D13" s="153">
        <f>SUM('Bevételek(Óvoda 2020)'!D14/1000)</f>
        <v>13931.96</v>
      </c>
      <c r="E13" s="150">
        <f>F13/C13*100</f>
        <v>121.21837889718638</v>
      </c>
      <c r="F13" s="253">
        <f>SUM('Bevételek(Óvoda 2020)'!F14/1000)</f>
        <v>79591.83</v>
      </c>
      <c r="G13" s="247"/>
      <c r="H13" s="242"/>
      <c r="I13" s="242"/>
      <c r="J13" s="242"/>
      <c r="K13" s="242"/>
      <c r="L13" s="248"/>
      <c r="M13" s="29"/>
      <c r="N13" s="29"/>
    </row>
    <row r="14" spans="1:14" ht="20.100000000000001" customHeight="1" thickBot="1" x14ac:dyDescent="0.3">
      <c r="A14" s="183" t="s">
        <v>56</v>
      </c>
      <c r="B14" s="155" t="s">
        <v>44</v>
      </c>
      <c r="C14" s="165">
        <f>SUM('Bevételek(Óvoda 2020)'!C15/1000)</f>
        <v>4800.2700000000004</v>
      </c>
      <c r="D14" s="165">
        <f>SUM('Bevételek(Óvoda 2020)'!D15/1000)</f>
        <v>2377.384</v>
      </c>
      <c r="E14" s="150">
        <v>0</v>
      </c>
      <c r="F14" s="254">
        <f>SUM('Bevételek(Óvoda 2020)'!F15/1000)</f>
        <v>7177.6540000000005</v>
      </c>
      <c r="G14" s="373"/>
      <c r="H14" s="374"/>
      <c r="I14" s="374"/>
      <c r="J14" s="375"/>
      <c r="K14" s="375"/>
      <c r="L14" s="376"/>
      <c r="M14" s="29"/>
      <c r="N14" s="29"/>
    </row>
    <row r="15" spans="1:14" ht="20.100000000000001" customHeight="1" thickBot="1" x14ac:dyDescent="0.25">
      <c r="A15" s="157"/>
      <c r="B15" s="158" t="s">
        <v>75</v>
      </c>
      <c r="C15" s="159">
        <f>SUM(C9:C14)</f>
        <v>70460.14</v>
      </c>
      <c r="D15" s="159">
        <f>SUM(D9:D14)</f>
        <v>16309.343999999999</v>
      </c>
      <c r="E15" s="255">
        <f>F15/C15*100</f>
        <v>123.14690830872604</v>
      </c>
      <c r="F15" s="161">
        <f>SUM(F10:F14)</f>
        <v>86769.483999999997</v>
      </c>
      <c r="G15" s="238"/>
      <c r="H15" s="239" t="s">
        <v>45</v>
      </c>
      <c r="I15" s="240">
        <f>SUM(I9:I14)</f>
        <v>72089.959999999992</v>
      </c>
      <c r="J15" s="240">
        <f t="shared" ref="J15" si="1">SUM(J9:J14)</f>
        <v>15751.04</v>
      </c>
      <c r="K15" s="241">
        <f>L15/I15*100</f>
        <v>121.84914515141915</v>
      </c>
      <c r="L15" s="240">
        <f>SUM(L9:L14)</f>
        <v>87841</v>
      </c>
      <c r="M15" s="28"/>
      <c r="N15" s="28"/>
    </row>
    <row r="16" spans="1:14" ht="20.100000000000001" customHeight="1" x14ac:dyDescent="0.2">
      <c r="A16" s="317"/>
      <c r="B16" s="318"/>
      <c r="C16" s="319"/>
      <c r="D16" s="319"/>
      <c r="E16" s="160"/>
      <c r="F16" s="315"/>
      <c r="G16" s="312" t="s">
        <v>159</v>
      </c>
      <c r="H16" s="244" t="s">
        <v>138</v>
      </c>
      <c r="I16" s="313"/>
      <c r="J16" s="313"/>
      <c r="K16" s="314"/>
      <c r="L16" s="315">
        <f>SUM('Kiadások(Óvoda 2020)'!F34/1000)</f>
        <v>0</v>
      </c>
      <c r="M16" s="28"/>
      <c r="N16" s="28"/>
    </row>
    <row r="17" spans="1:14" ht="20.100000000000001" customHeight="1" thickBot="1" x14ac:dyDescent="0.25">
      <c r="A17" s="184" t="s">
        <v>55</v>
      </c>
      <c r="B17" s="162" t="s">
        <v>46</v>
      </c>
      <c r="C17" s="165">
        <f>SUM('Bevételek(Óvoda 2020)'!C12/1000)</f>
        <v>2220.37</v>
      </c>
      <c r="D17" s="165">
        <f>SUM('Bevételek(Óvoda 2020)'!D12/1000)</f>
        <v>-767.85400000000004</v>
      </c>
      <c r="E17" s="316">
        <f>F17/C17*100</f>
        <v>65.417745691033474</v>
      </c>
      <c r="F17" s="163">
        <f>'Bevételek COFOG'!F9/1000</f>
        <v>1452.5160000000001</v>
      </c>
      <c r="G17" s="164" t="s">
        <v>101</v>
      </c>
      <c r="H17" s="165" t="s">
        <v>102</v>
      </c>
      <c r="I17" s="189">
        <f>SUM('Kiadások(Óvoda 2020)'!C38/1000)</f>
        <v>590.54999999999995</v>
      </c>
      <c r="J17" s="189">
        <f>SUM('Kiadások(Óvoda 2020)'!D38/1000)</f>
        <v>-209.55</v>
      </c>
      <c r="K17" s="190">
        <f>L17/I17*100</f>
        <v>64.516129032258078</v>
      </c>
      <c r="L17" s="156">
        <f>SUM('Kiadások(Óvoda 2020)'!F38/1000)</f>
        <v>381</v>
      </c>
      <c r="M17" s="28"/>
      <c r="N17" s="28"/>
    </row>
    <row r="18" spans="1:14" ht="21.75" customHeight="1" thickBot="1" x14ac:dyDescent="0.25">
      <c r="A18" s="384" t="s">
        <v>47</v>
      </c>
      <c r="B18" s="385"/>
      <c r="C18" s="166">
        <f>SUM(C15:C17)</f>
        <v>72680.509999999995</v>
      </c>
      <c r="D18" s="166">
        <f t="shared" ref="D18" si="2">SUM(D15:D17)</f>
        <v>15541.49</v>
      </c>
      <c r="E18" s="168">
        <f>F18/C18*100</f>
        <v>121.38329794328632</v>
      </c>
      <c r="F18" s="167">
        <f>SUM(F15:F17)</f>
        <v>88222</v>
      </c>
      <c r="G18" s="386" t="s">
        <v>47</v>
      </c>
      <c r="H18" s="387"/>
      <c r="I18" s="169">
        <f>SUM(I15:I17)</f>
        <v>72680.509999999995</v>
      </c>
      <c r="J18" s="169">
        <f t="shared" ref="J18" si="3">SUM(J15:J17)</f>
        <v>15541.490000000002</v>
      </c>
      <c r="K18" s="170">
        <f>L18/I18*100</f>
        <v>121.38329794328632</v>
      </c>
      <c r="L18" s="169">
        <f>SUM(L15:L17)</f>
        <v>88222</v>
      </c>
      <c r="M18" s="28"/>
      <c r="N18" s="28"/>
    </row>
    <row r="21" spans="1:14" ht="15.75" x14ac:dyDescent="0.25">
      <c r="D21" s="30"/>
      <c r="E21" s="30"/>
      <c r="F21" s="30"/>
    </row>
    <row r="22" spans="1:14" ht="15.75" x14ac:dyDescent="0.25">
      <c r="D22" s="30"/>
      <c r="E22" s="30"/>
      <c r="F22" s="30"/>
    </row>
    <row r="23" spans="1:14" ht="15.75" x14ac:dyDescent="0.25">
      <c r="D23" s="31"/>
      <c r="E23" s="31"/>
      <c r="F23" s="31"/>
    </row>
    <row r="24" spans="1:14" ht="15.75" x14ac:dyDescent="0.25">
      <c r="D24" s="30"/>
      <c r="E24" s="30"/>
      <c r="F24" s="30"/>
    </row>
    <row r="25" spans="1:14" ht="15.75" x14ac:dyDescent="0.25">
      <c r="B25" s="32"/>
      <c r="C25" s="32"/>
      <c r="D25" s="33"/>
      <c r="E25" s="33"/>
      <c r="F25" s="33"/>
      <c r="G25" s="32"/>
      <c r="H25" s="32"/>
      <c r="I25" s="32"/>
    </row>
    <row r="26" spans="1:14" x14ac:dyDescent="0.2">
      <c r="B26" s="32"/>
      <c r="C26" s="32"/>
      <c r="D26" s="32"/>
      <c r="E26" s="32"/>
      <c r="F26" s="34"/>
      <c r="G26" s="32"/>
      <c r="H26" s="32"/>
      <c r="I26" s="32"/>
    </row>
    <row r="27" spans="1:14" x14ac:dyDescent="0.2">
      <c r="B27" s="32"/>
      <c r="C27" s="32"/>
      <c r="D27" s="32"/>
      <c r="E27" s="32"/>
      <c r="F27" s="34"/>
      <c r="G27" s="32"/>
      <c r="H27" s="32"/>
      <c r="I27" s="32"/>
    </row>
    <row r="28" spans="1:14" x14ac:dyDescent="0.2">
      <c r="B28" s="32"/>
      <c r="C28" s="32"/>
      <c r="D28" s="32"/>
      <c r="E28" s="32"/>
      <c r="F28" s="35"/>
      <c r="G28" s="32"/>
      <c r="H28" s="32"/>
      <c r="I28" s="32"/>
    </row>
    <row r="29" spans="1:14" x14ac:dyDescent="0.2">
      <c r="B29" s="32"/>
      <c r="C29" s="32"/>
      <c r="D29" s="32"/>
      <c r="E29" s="32"/>
      <c r="F29" s="32"/>
      <c r="G29" s="32"/>
      <c r="H29" s="32"/>
      <c r="I29" s="32"/>
    </row>
  </sheetData>
  <sheetProtection algorithmName="SHA-512" hashValue="MxZU/trNruDnutLa8tunk3cqju2rMuLULj7dsU34NmEjS7tZXth+TQlU261my3U7HthqoNuKK4T1MgSK3hnIOA==" saltValue="QunMn5Bs7uEbZvaA6zG60A==" spinCount="100000" sheet="1" objects="1" scenarios="1"/>
  <mergeCells count="10">
    <mergeCell ref="J1:L1"/>
    <mergeCell ref="A8:B8"/>
    <mergeCell ref="G8:H8"/>
    <mergeCell ref="A18:B18"/>
    <mergeCell ref="G18:H18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3" orientation="landscape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zoomScaleNormal="100" workbookViewId="0">
      <selection activeCell="J9" sqref="J9"/>
    </sheetView>
  </sheetViews>
  <sheetFormatPr defaultRowHeight="12.75" x14ac:dyDescent="0.2"/>
  <cols>
    <col min="1" max="1" width="12.28515625" customWidth="1"/>
    <col min="2" max="2" width="37.28515625" customWidth="1"/>
    <col min="3" max="3" width="13.4257812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5"/>
      <c r="F1" s="5"/>
    </row>
    <row r="2" spans="1:6" x14ac:dyDescent="0.2">
      <c r="A2" s="399" t="s">
        <v>174</v>
      </c>
      <c r="B2" s="399"/>
      <c r="C2" s="399"/>
      <c r="D2" s="399"/>
      <c r="E2" s="399"/>
      <c r="F2" s="399"/>
    </row>
    <row r="3" spans="1:6" x14ac:dyDescent="0.2">
      <c r="A3" s="400" t="s">
        <v>173</v>
      </c>
      <c r="B3" s="400"/>
      <c r="C3" s="400"/>
      <c r="D3" s="400"/>
      <c r="E3" s="400"/>
      <c r="F3" s="400"/>
    </row>
    <row r="4" spans="1:6" ht="13.5" thickBot="1" x14ac:dyDescent="0.25">
      <c r="A4" s="71"/>
      <c r="B4" s="71"/>
      <c r="C4" s="71"/>
      <c r="D4" s="71"/>
      <c r="E4" s="71"/>
      <c r="F4" s="72" t="s">
        <v>49</v>
      </c>
    </row>
    <row r="5" spans="1:6" ht="24" customHeight="1" x14ac:dyDescent="0.2">
      <c r="A5" s="401" t="s">
        <v>34</v>
      </c>
      <c r="B5" s="402"/>
      <c r="C5" s="402"/>
      <c r="D5" s="402"/>
      <c r="E5" s="402"/>
      <c r="F5" s="403"/>
    </row>
    <row r="6" spans="1:6" ht="18.75" customHeight="1" x14ac:dyDescent="0.2">
      <c r="A6" s="404" t="s">
        <v>0</v>
      </c>
      <c r="B6" s="406" t="s">
        <v>18</v>
      </c>
      <c r="C6" s="408">
        <v>2021</v>
      </c>
      <c r="D6" s="409"/>
      <c r="E6" s="410"/>
      <c r="F6" s="73">
        <v>2022</v>
      </c>
    </row>
    <row r="7" spans="1:6" ht="36.75" customHeight="1" thickBot="1" x14ac:dyDescent="0.25">
      <c r="A7" s="405"/>
      <c r="B7" s="407"/>
      <c r="C7" s="185" t="s">
        <v>59</v>
      </c>
      <c r="D7" s="194" t="s">
        <v>117</v>
      </c>
      <c r="E7" s="173" t="s">
        <v>58</v>
      </c>
      <c r="F7" s="75" t="s">
        <v>59</v>
      </c>
    </row>
    <row r="8" spans="1:6" ht="24.95" customHeight="1" x14ac:dyDescent="0.2">
      <c r="A8" s="89" t="s">
        <v>74</v>
      </c>
      <c r="B8" s="90" t="s">
        <v>93</v>
      </c>
      <c r="C8" s="91">
        <v>0</v>
      </c>
      <c r="D8" s="91">
        <f>SUM('Bevételek COFOG'!D17)</f>
        <v>0</v>
      </c>
      <c r="E8" s="79"/>
      <c r="F8" s="93">
        <v>0</v>
      </c>
    </row>
    <row r="9" spans="1:6" ht="24.95" customHeight="1" x14ac:dyDescent="0.2">
      <c r="A9" s="94" t="s">
        <v>94</v>
      </c>
      <c r="B9" s="95" t="s">
        <v>95</v>
      </c>
      <c r="C9" s="96">
        <v>0</v>
      </c>
      <c r="D9" s="96">
        <f>SUM('Bevételek COFOG'!D22)</f>
        <v>0</v>
      </c>
      <c r="E9" s="79">
        <v>0</v>
      </c>
      <c r="F9" s="97">
        <f>'Bevételek COFOG'!F22</f>
        <v>0</v>
      </c>
    </row>
    <row r="10" spans="1:6" ht="24.95" customHeight="1" x14ac:dyDescent="0.2">
      <c r="A10" s="94" t="s">
        <v>128</v>
      </c>
      <c r="B10" s="95" t="s">
        <v>129</v>
      </c>
      <c r="C10" s="96"/>
      <c r="D10" s="96">
        <f>SUM('Bevételek COFOG'!D23)</f>
        <v>0</v>
      </c>
      <c r="E10" s="79"/>
      <c r="F10" s="97"/>
    </row>
    <row r="11" spans="1:6" ht="24.95" customHeight="1" x14ac:dyDescent="0.2">
      <c r="A11" s="76" t="s">
        <v>62</v>
      </c>
      <c r="B11" s="77" t="s">
        <v>63</v>
      </c>
      <c r="C11" s="92">
        <v>0</v>
      </c>
      <c r="D11" s="92">
        <f>SUM('Bevételek COFOG'!D24)</f>
        <v>0</v>
      </c>
      <c r="E11" s="79">
        <v>0</v>
      </c>
      <c r="F11" s="98">
        <f>'Bevételek COFOG'!F24</f>
        <v>0</v>
      </c>
    </row>
    <row r="12" spans="1:6" ht="24.95" customHeight="1" x14ac:dyDescent="0.2">
      <c r="A12" s="76" t="s">
        <v>2</v>
      </c>
      <c r="B12" s="77" t="s">
        <v>19</v>
      </c>
      <c r="C12" s="92">
        <v>2220370</v>
      </c>
      <c r="D12" s="92">
        <f>SUM('Bevételek COFOG'!D9)</f>
        <v>-767854</v>
      </c>
      <c r="E12" s="79">
        <f t="shared" ref="E12:E14" si="0">F12/C12*100</f>
        <v>65.417745691033474</v>
      </c>
      <c r="F12" s="80">
        <f>'Bevételek COFOG'!F9</f>
        <v>1452516</v>
      </c>
    </row>
    <row r="13" spans="1:6" ht="24.95" customHeight="1" x14ac:dyDescent="0.2">
      <c r="A13" s="395" t="s">
        <v>3</v>
      </c>
      <c r="B13" s="81" t="s">
        <v>20</v>
      </c>
      <c r="C13" s="235">
        <v>70460140</v>
      </c>
      <c r="D13" s="235">
        <f>SUM('Bevételek COFOG'!D10)</f>
        <v>16309344</v>
      </c>
      <c r="E13" s="79">
        <f t="shared" si="0"/>
        <v>123.14690830872604</v>
      </c>
      <c r="F13" s="82">
        <f>F14+F15</f>
        <v>86769484</v>
      </c>
    </row>
    <row r="14" spans="1:6" ht="24.95" customHeight="1" x14ac:dyDescent="0.2">
      <c r="A14" s="396"/>
      <c r="B14" s="83" t="s">
        <v>57</v>
      </c>
      <c r="C14" s="235">
        <v>65659870</v>
      </c>
      <c r="D14" s="235">
        <f>SUM('Bevételek COFOG'!D11)</f>
        <v>13931960</v>
      </c>
      <c r="E14" s="79">
        <f t="shared" si="0"/>
        <v>121.21837889718637</v>
      </c>
      <c r="F14" s="84">
        <f>'Bevételek COFOG'!F11</f>
        <v>79591830</v>
      </c>
    </row>
    <row r="15" spans="1:6" ht="24.95" customHeight="1" thickBot="1" x14ac:dyDescent="0.25">
      <c r="A15" s="396"/>
      <c r="B15" s="86" t="s">
        <v>92</v>
      </c>
      <c r="C15" s="191">
        <v>4800270</v>
      </c>
      <c r="D15" s="191">
        <f>SUM('Bevételek COFOG'!D12)</f>
        <v>2377384</v>
      </c>
      <c r="E15" s="79">
        <v>0</v>
      </c>
      <c r="F15" s="85">
        <f>'Bevételek COFOG'!F12</f>
        <v>7177654</v>
      </c>
    </row>
    <row r="16" spans="1:6" ht="26.25" customHeight="1" thickBot="1" x14ac:dyDescent="0.25">
      <c r="A16" s="397" t="s">
        <v>99</v>
      </c>
      <c r="B16" s="398"/>
      <c r="C16" s="87">
        <f>C8+C9+C11+C12+C13</f>
        <v>72680510</v>
      </c>
      <c r="D16" s="87">
        <f>D8+D9+D11+D12+D13</f>
        <v>15541490</v>
      </c>
      <c r="E16" s="102">
        <f>F16/C16*100</f>
        <v>121.38329794328631</v>
      </c>
      <c r="F16" s="87">
        <f t="shared" ref="F16" si="1">F8+F9+F11+F12+F13</f>
        <v>88222000</v>
      </c>
    </row>
    <row r="17" spans="1:6" ht="24.95" customHeight="1" x14ac:dyDescent="0.2">
      <c r="A17" s="99"/>
      <c r="B17" s="99"/>
      <c r="C17" s="99"/>
      <c r="D17" s="100"/>
      <c r="E17" s="101"/>
      <c r="F17" s="100"/>
    </row>
  </sheetData>
  <mergeCells count="8">
    <mergeCell ref="A13:A15"/>
    <mergeCell ref="A16:B16"/>
    <mergeCell ref="A2:F2"/>
    <mergeCell ref="A3:F3"/>
    <mergeCell ref="A5:F5"/>
    <mergeCell ref="A6:A7"/>
    <mergeCell ref="B6:B7"/>
    <mergeCell ref="C6:E6"/>
  </mergeCells>
  <pageMargins left="0.98425196850393704" right="0.59055118110236227" top="0.59055118110236227" bottom="0.59055118110236227" header="0.51181102362204722" footer="0.51181102362204722"/>
  <pageSetup paperSize="9" scale="80" orientation="portrait" r:id="rId1"/>
  <headerFooter alignWithMargins="0">
    <oddHeader>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showGridLines="0" topLeftCell="A10" zoomScaleNormal="100" workbookViewId="0">
      <selection activeCell="G16" sqref="G16"/>
    </sheetView>
  </sheetViews>
  <sheetFormatPr defaultRowHeight="12.75" x14ac:dyDescent="0.2"/>
  <cols>
    <col min="1" max="1" width="12.28515625" customWidth="1"/>
    <col min="2" max="2" width="37.28515625" customWidth="1"/>
    <col min="3" max="3" width="13" customWidth="1"/>
    <col min="4" max="4" width="11.7109375" customWidth="1"/>
    <col min="5" max="5" width="11.42578125" customWidth="1"/>
    <col min="6" max="6" width="12.28515625" customWidth="1"/>
    <col min="9" max="9" width="11" bestFit="1" customWidth="1"/>
    <col min="10" max="10" width="10.140625" bestFit="1" customWidth="1"/>
  </cols>
  <sheetData>
    <row r="1" spans="1:10" x14ac:dyDescent="0.2">
      <c r="E1" s="5"/>
      <c r="F1" s="5"/>
    </row>
    <row r="2" spans="1:10" x14ac:dyDescent="0.2">
      <c r="A2" s="399" t="s">
        <v>174</v>
      </c>
      <c r="B2" s="399"/>
      <c r="C2" s="399"/>
      <c r="D2" s="399"/>
      <c r="E2" s="399"/>
      <c r="F2" s="399"/>
    </row>
    <row r="3" spans="1:10" x14ac:dyDescent="0.2">
      <c r="A3" s="400" t="s">
        <v>173</v>
      </c>
      <c r="B3" s="400"/>
      <c r="C3" s="400"/>
      <c r="D3" s="400"/>
      <c r="E3" s="400"/>
      <c r="F3" s="400"/>
    </row>
    <row r="4" spans="1:10" x14ac:dyDescent="0.2">
      <c r="A4" s="71"/>
      <c r="B4" s="71"/>
      <c r="C4" s="71"/>
      <c r="D4" s="71"/>
      <c r="E4" s="71"/>
      <c r="F4" s="72" t="s">
        <v>49</v>
      </c>
    </row>
    <row r="5" spans="1:10" ht="24" customHeight="1" thickBot="1" x14ac:dyDescent="0.25">
      <c r="A5" s="414" t="s">
        <v>91</v>
      </c>
      <c r="B5" s="414"/>
      <c r="C5" s="414"/>
      <c r="D5" s="414"/>
      <c r="E5" s="414"/>
      <c r="F5" s="414"/>
    </row>
    <row r="6" spans="1:10" ht="27" customHeight="1" x14ac:dyDescent="0.2">
      <c r="A6" s="411" t="s">
        <v>90</v>
      </c>
      <c r="B6" s="412"/>
      <c r="C6" s="412"/>
      <c r="D6" s="412"/>
      <c r="E6" s="412"/>
      <c r="F6" s="413"/>
    </row>
    <row r="7" spans="1:10" ht="18.75" customHeight="1" x14ac:dyDescent="0.2">
      <c r="A7" s="404" t="s">
        <v>0</v>
      </c>
      <c r="B7" s="406" t="s">
        <v>18</v>
      </c>
      <c r="C7" s="408">
        <v>2021</v>
      </c>
      <c r="D7" s="409"/>
      <c r="E7" s="410"/>
      <c r="F7" s="73">
        <v>2022</v>
      </c>
    </row>
    <row r="8" spans="1:10" ht="36.75" customHeight="1" thickBot="1" x14ac:dyDescent="0.25">
      <c r="A8" s="405"/>
      <c r="B8" s="407"/>
      <c r="C8" s="185" t="s">
        <v>59</v>
      </c>
      <c r="D8" s="74" t="s">
        <v>117</v>
      </c>
      <c r="E8" s="74" t="s">
        <v>58</v>
      </c>
      <c r="F8" s="75" t="s">
        <v>59</v>
      </c>
    </row>
    <row r="9" spans="1:10" ht="24.95" customHeight="1" x14ac:dyDescent="0.2">
      <c r="A9" s="76" t="s">
        <v>2</v>
      </c>
      <c r="B9" s="77" t="s">
        <v>19</v>
      </c>
      <c r="C9" s="92">
        <v>2220370</v>
      </c>
      <c r="D9" s="78">
        <f>F9-C9</f>
        <v>-767854</v>
      </c>
      <c r="E9" s="79">
        <f>F9/C9*100</f>
        <v>65.417745691033474</v>
      </c>
      <c r="F9" s="80">
        <v>1452516</v>
      </c>
      <c r="I9" s="257" t="s">
        <v>186</v>
      </c>
      <c r="J9" s="47">
        <v>3579000</v>
      </c>
    </row>
    <row r="10" spans="1:10" ht="24.95" customHeight="1" x14ac:dyDescent="0.2">
      <c r="A10" s="395" t="s">
        <v>3</v>
      </c>
      <c r="B10" s="81" t="s">
        <v>20</v>
      </c>
      <c r="C10" s="191">
        <v>70460140</v>
      </c>
      <c r="D10" s="78">
        <f>F10-C10</f>
        <v>16309344</v>
      </c>
      <c r="E10" s="79">
        <f t="shared" ref="E10:E12" si="0">F10/C10*100</f>
        <v>123.14690830872604</v>
      </c>
      <c r="F10" s="82">
        <f>SUM(F11:F12)</f>
        <v>86769484</v>
      </c>
      <c r="I10" s="257" t="s">
        <v>185</v>
      </c>
      <c r="J10" s="47">
        <v>6225380</v>
      </c>
    </row>
    <row r="11" spans="1:10" ht="24.95" customHeight="1" x14ac:dyDescent="0.2">
      <c r="A11" s="396"/>
      <c r="B11" s="83" t="s">
        <v>57</v>
      </c>
      <c r="C11" s="192">
        <v>65659870</v>
      </c>
      <c r="D11" s="78">
        <f>F11-C11</f>
        <v>13931960</v>
      </c>
      <c r="E11" s="79">
        <f t="shared" si="0"/>
        <v>121.21837889718637</v>
      </c>
      <c r="F11" s="84">
        <v>79591830</v>
      </c>
      <c r="I11" s="257" t="s">
        <v>134</v>
      </c>
      <c r="J11" s="47">
        <v>13023000</v>
      </c>
    </row>
    <row r="12" spans="1:10" ht="24.95" customHeight="1" thickBot="1" x14ac:dyDescent="0.25">
      <c r="A12" s="396"/>
      <c r="B12" s="86" t="s">
        <v>92</v>
      </c>
      <c r="C12" s="193">
        <v>4800270</v>
      </c>
      <c r="D12" s="78">
        <f>F12-C12</f>
        <v>2377384</v>
      </c>
      <c r="E12" s="79">
        <f t="shared" si="0"/>
        <v>149.52604749316185</v>
      </c>
      <c r="F12" s="85">
        <v>7177654</v>
      </c>
      <c r="I12" s="257" t="s">
        <v>135</v>
      </c>
      <c r="J12" s="258">
        <v>56764450</v>
      </c>
    </row>
    <row r="13" spans="1:10" ht="26.25" customHeight="1" thickBot="1" x14ac:dyDescent="0.25">
      <c r="A13" s="397" t="s">
        <v>64</v>
      </c>
      <c r="B13" s="398"/>
      <c r="C13" s="367">
        <f>C9+C10</f>
        <v>72680510</v>
      </c>
      <c r="D13" s="369">
        <f>F13-C13</f>
        <v>15541490</v>
      </c>
      <c r="E13" s="368">
        <f>F13/C13*100</f>
        <v>121.38329794328631</v>
      </c>
      <c r="F13" s="87">
        <f>SUM(F9:F10)</f>
        <v>88222000</v>
      </c>
      <c r="H13" s="370"/>
      <c r="J13" s="47">
        <f>SUM(J9:J12)</f>
        <v>79591830</v>
      </c>
    </row>
    <row r="14" spans="1:10" ht="26.25" customHeight="1" x14ac:dyDescent="0.2">
      <c r="A14" s="411" t="s">
        <v>126</v>
      </c>
      <c r="B14" s="412"/>
      <c r="C14" s="412"/>
      <c r="D14" s="412"/>
      <c r="E14" s="412"/>
      <c r="F14" s="413"/>
    </row>
    <row r="15" spans="1:10" ht="26.25" customHeight="1" x14ac:dyDescent="0.2">
      <c r="A15" s="404" t="s">
        <v>0</v>
      </c>
      <c r="B15" s="406" t="s">
        <v>18</v>
      </c>
      <c r="C15" s="408">
        <v>2021</v>
      </c>
      <c r="D15" s="409"/>
      <c r="E15" s="410"/>
      <c r="F15" s="73">
        <v>2022</v>
      </c>
    </row>
    <row r="16" spans="1:10" ht="26.25" customHeight="1" thickBot="1" x14ac:dyDescent="0.25">
      <c r="A16" s="405"/>
      <c r="B16" s="407"/>
      <c r="C16" s="207" t="s">
        <v>59</v>
      </c>
      <c r="D16" s="207" t="s">
        <v>117</v>
      </c>
      <c r="E16" s="207" t="s">
        <v>58</v>
      </c>
      <c r="F16" s="75" t="s">
        <v>59</v>
      </c>
    </row>
    <row r="17" spans="1:6" ht="26.25" customHeight="1" thickBot="1" x14ac:dyDescent="0.25">
      <c r="A17" s="76" t="s">
        <v>74</v>
      </c>
      <c r="B17" s="77" t="s">
        <v>127</v>
      </c>
      <c r="C17" s="92">
        <v>0</v>
      </c>
      <c r="D17" s="78">
        <v>0</v>
      </c>
      <c r="E17" s="79">
        <v>0</v>
      </c>
      <c r="F17" s="80">
        <v>0</v>
      </c>
    </row>
    <row r="18" spans="1:6" ht="26.25" customHeight="1" thickBot="1" x14ac:dyDescent="0.25">
      <c r="A18" s="397" t="s">
        <v>64</v>
      </c>
      <c r="B18" s="398"/>
      <c r="C18" s="367">
        <f>SUM(C17)</f>
        <v>0</v>
      </c>
      <c r="D18" s="369">
        <f t="shared" ref="D18" si="1">SUM(D17)</f>
        <v>0</v>
      </c>
      <c r="E18" s="368">
        <v>0</v>
      </c>
      <c r="F18" s="87">
        <f>SUM(F17)</f>
        <v>0</v>
      </c>
    </row>
    <row r="19" spans="1:6" ht="26.25" customHeight="1" x14ac:dyDescent="0.2">
      <c r="A19" s="415" t="s">
        <v>107</v>
      </c>
      <c r="B19" s="416"/>
      <c r="C19" s="416"/>
      <c r="D19" s="416"/>
      <c r="E19" s="416"/>
      <c r="F19" s="417"/>
    </row>
    <row r="20" spans="1:6" ht="17.25" customHeight="1" x14ac:dyDescent="0.2">
      <c r="A20" s="404" t="s">
        <v>0</v>
      </c>
      <c r="B20" s="406" t="s">
        <v>18</v>
      </c>
      <c r="C20" s="408">
        <v>2021</v>
      </c>
      <c r="D20" s="409"/>
      <c r="E20" s="410"/>
      <c r="F20" s="73">
        <v>2022</v>
      </c>
    </row>
    <row r="21" spans="1:6" ht="36" customHeight="1" thickBot="1" x14ac:dyDescent="0.25">
      <c r="A21" s="405"/>
      <c r="B21" s="407"/>
      <c r="C21" s="185" t="s">
        <v>59</v>
      </c>
      <c r="D21" s="185" t="s">
        <v>117</v>
      </c>
      <c r="E21" s="185" t="s">
        <v>58</v>
      </c>
      <c r="F21" s="75" t="s">
        <v>59</v>
      </c>
    </row>
    <row r="22" spans="1:6" ht="24.95" customHeight="1" x14ac:dyDescent="0.2">
      <c r="A22" s="94" t="s">
        <v>94</v>
      </c>
      <c r="B22" s="95" t="s">
        <v>95</v>
      </c>
      <c r="C22" s="339">
        <v>0</v>
      </c>
      <c r="D22" s="341">
        <f>F22-C22</f>
        <v>0</v>
      </c>
      <c r="E22" s="79">
        <v>0</v>
      </c>
      <c r="F22" s="97">
        <v>0</v>
      </c>
    </row>
    <row r="23" spans="1:6" ht="24.95" customHeight="1" x14ac:dyDescent="0.2">
      <c r="A23" s="94" t="s">
        <v>128</v>
      </c>
      <c r="B23" s="95" t="s">
        <v>129</v>
      </c>
      <c r="C23" s="339">
        <v>0</v>
      </c>
      <c r="D23" s="92">
        <f t="shared" ref="D23:D24" si="2">F23-C23</f>
        <v>0</v>
      </c>
      <c r="E23" s="79">
        <v>0</v>
      </c>
      <c r="F23" s="97">
        <v>0</v>
      </c>
    </row>
    <row r="24" spans="1:6" ht="24.95" customHeight="1" thickBot="1" x14ac:dyDescent="0.25">
      <c r="A24" s="76" t="s">
        <v>62</v>
      </c>
      <c r="B24" s="77" t="s">
        <v>63</v>
      </c>
      <c r="C24" s="340">
        <v>0</v>
      </c>
      <c r="D24" s="342">
        <f t="shared" si="2"/>
        <v>0</v>
      </c>
      <c r="E24" s="79">
        <v>0</v>
      </c>
      <c r="F24" s="98">
        <v>0</v>
      </c>
    </row>
    <row r="25" spans="1:6" ht="24.95" customHeight="1" thickBot="1" x14ac:dyDescent="0.25">
      <c r="A25" s="397" t="s">
        <v>64</v>
      </c>
      <c r="B25" s="398"/>
      <c r="C25" s="87">
        <f>SUM(C22:C24)</f>
        <v>0</v>
      </c>
      <c r="D25" s="87">
        <f>SUM(D22:D24)</f>
        <v>0</v>
      </c>
      <c r="E25" s="88">
        <v>0</v>
      </c>
      <c r="F25" s="87">
        <f>SUM(F22:F24)</f>
        <v>0</v>
      </c>
    </row>
    <row r="26" spans="1:6" ht="24.95" customHeight="1" thickBot="1" x14ac:dyDescent="0.25">
      <c r="A26" s="99"/>
      <c r="B26" s="99"/>
      <c r="C26" s="99"/>
      <c r="D26" s="100"/>
      <c r="E26" s="101"/>
      <c r="F26" s="100"/>
    </row>
    <row r="27" spans="1:6" ht="26.25" customHeight="1" thickBot="1" x14ac:dyDescent="0.25">
      <c r="A27" s="397" t="s">
        <v>65</v>
      </c>
      <c r="B27" s="398"/>
      <c r="C27" s="87">
        <f>SUM(C13,C18,C25)</f>
        <v>72680510</v>
      </c>
      <c r="D27" s="87">
        <f>SUM(D13,D18,D25)</f>
        <v>15541490</v>
      </c>
      <c r="E27" s="102">
        <f>F27/C27*100</f>
        <v>121.38329794328631</v>
      </c>
      <c r="F27" s="87">
        <f>F13+F25+F18</f>
        <v>88222000</v>
      </c>
    </row>
    <row r="30" spans="1:6" x14ac:dyDescent="0.2">
      <c r="F30" s="47">
        <f>F27-'Kiadások COFOG szerint'!F96</f>
        <v>0</v>
      </c>
    </row>
  </sheetData>
  <mergeCells count="20">
    <mergeCell ref="A27:B27"/>
    <mergeCell ref="A19:F19"/>
    <mergeCell ref="A20:A21"/>
    <mergeCell ref="B20:B21"/>
    <mergeCell ref="A25:B25"/>
    <mergeCell ref="C20:E20"/>
    <mergeCell ref="A2:F2"/>
    <mergeCell ref="A13:B13"/>
    <mergeCell ref="A3:F3"/>
    <mergeCell ref="A6:F6"/>
    <mergeCell ref="A7:A8"/>
    <mergeCell ref="B7:B8"/>
    <mergeCell ref="A10:A12"/>
    <mergeCell ref="A5:F5"/>
    <mergeCell ref="C7:E7"/>
    <mergeCell ref="A18:B18"/>
    <mergeCell ref="A14:F14"/>
    <mergeCell ref="A15:A16"/>
    <mergeCell ref="B15:B16"/>
    <mergeCell ref="C15:E15"/>
  </mergeCells>
  <phoneticPr fontId="0" type="noConversion"/>
  <pageMargins left="1" right="1" top="1" bottom="1" header="0.5" footer="0.5"/>
  <pageSetup paperSize="9" scale="68" orientation="portrait" r:id="rId1"/>
  <headerFooter alignWithMargins="0">
    <oddHeader>&amp;LPiliscsévi "Aranykapu" Egységes Óvoda-Bölcsőde&amp;RIV/2.a) számú melléklet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showGridLines="0" topLeftCell="A19" zoomScaleNormal="100" workbookViewId="0">
      <selection activeCell="J13" sqref="J13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3.140625" customWidth="1"/>
    <col min="5" max="5" width="7.28515625" customWidth="1"/>
    <col min="6" max="6" width="17" customWidth="1"/>
    <col min="7" max="8" width="10.140625" bestFit="1" customWidth="1"/>
  </cols>
  <sheetData>
    <row r="1" spans="1:7" x14ac:dyDescent="0.2">
      <c r="E1" s="5"/>
      <c r="F1" s="5"/>
    </row>
    <row r="2" spans="1:7" x14ac:dyDescent="0.2">
      <c r="A2" s="399" t="s">
        <v>174</v>
      </c>
      <c r="B2" s="399"/>
      <c r="C2" s="399"/>
      <c r="D2" s="399"/>
      <c r="E2" s="399"/>
      <c r="F2" s="399"/>
    </row>
    <row r="3" spans="1:7" x14ac:dyDescent="0.2">
      <c r="A3" s="400" t="s">
        <v>173</v>
      </c>
      <c r="B3" s="400"/>
      <c r="C3" s="400"/>
      <c r="D3" s="400"/>
      <c r="E3" s="400"/>
      <c r="F3" s="400"/>
    </row>
    <row r="4" spans="1:7" ht="13.5" thickBot="1" x14ac:dyDescent="0.25">
      <c r="F4" s="8" t="s">
        <v>49</v>
      </c>
    </row>
    <row r="5" spans="1:7" ht="21.75" customHeight="1" thickBot="1" x14ac:dyDescent="0.25">
      <c r="A5" s="422" t="s">
        <v>38</v>
      </c>
      <c r="B5" s="423"/>
      <c r="C5" s="423"/>
      <c r="D5" s="423"/>
      <c r="E5" s="423"/>
      <c r="F5" s="424"/>
    </row>
    <row r="6" spans="1:7" ht="15.75" customHeight="1" x14ac:dyDescent="0.2">
      <c r="A6" s="425" t="s">
        <v>0</v>
      </c>
      <c r="B6" s="427" t="s">
        <v>18</v>
      </c>
      <c r="C6" s="429">
        <v>2021</v>
      </c>
      <c r="D6" s="430"/>
      <c r="E6" s="431"/>
      <c r="F6" s="103">
        <v>2022</v>
      </c>
    </row>
    <row r="7" spans="1:7" ht="30.75" customHeight="1" thickBot="1" x14ac:dyDescent="0.25">
      <c r="A7" s="426"/>
      <c r="B7" s="428"/>
      <c r="C7" s="186" t="s">
        <v>59</v>
      </c>
      <c r="D7" s="186" t="s">
        <v>117</v>
      </c>
      <c r="E7" s="104" t="s">
        <v>58</v>
      </c>
      <c r="F7" s="105" t="s">
        <v>59</v>
      </c>
    </row>
    <row r="8" spans="1:7" ht="22.5" customHeight="1" x14ac:dyDescent="0.2">
      <c r="A8" s="357" t="s">
        <v>4</v>
      </c>
      <c r="B8" s="358" t="s">
        <v>21</v>
      </c>
      <c r="C8" s="359">
        <f>SUM('Kiadások COFOG szerint'!C9,'Kiadások COFOG szerint'!C26,'Kiadások COFOG szerint'!C69,'Kiadások COFOG szerint'!C83)</f>
        <v>44640000</v>
      </c>
      <c r="D8" s="359">
        <f t="shared" ref="D8:D17" si="0">F8-C8</f>
        <v>12410000</v>
      </c>
      <c r="E8" s="203">
        <f>F8/C8*100</f>
        <v>127.80017921146953</v>
      </c>
      <c r="F8" s="360">
        <f>SUM('Kiadások COFOG szerint'!F9,'Kiadások COFOG szerint'!F26,'Kiadások COFOG szerint'!F69,'Kiadások COFOG szerint'!F83)</f>
        <v>57050000</v>
      </c>
      <c r="G8" s="13"/>
    </row>
    <row r="9" spans="1:7" ht="22.5" customHeight="1" x14ac:dyDescent="0.2">
      <c r="A9" s="106" t="s">
        <v>115</v>
      </c>
      <c r="B9" s="107" t="s">
        <v>116</v>
      </c>
      <c r="C9" s="108">
        <f>SUM('Kiadások COFOG szerint'!C10,'Kiadások COFOG szerint'!C27,'Kiadások COFOG szerint'!C70,'Kiadások COFOG szerint'!C84)</f>
        <v>1070000</v>
      </c>
      <c r="D9" s="108">
        <f t="shared" si="0"/>
        <v>-1070000</v>
      </c>
      <c r="E9" s="109">
        <f>F9/C9*100</f>
        <v>0</v>
      </c>
      <c r="F9" s="110">
        <f>SUM('Kiadások COFOG szerint'!F10,'Kiadások COFOG szerint'!F27,'Kiadások COFOG szerint'!F70,'Kiadások COFOG szerint'!F84)</f>
        <v>0</v>
      </c>
      <c r="G9" s="13"/>
    </row>
    <row r="10" spans="1:7" ht="22.5" customHeight="1" x14ac:dyDescent="0.2">
      <c r="A10" s="106" t="s">
        <v>179</v>
      </c>
      <c r="B10" s="355" t="s">
        <v>180</v>
      </c>
      <c r="C10" s="108">
        <f>SUM('Kiadások COFOG szerint'!C11+'Kiadások COFOG szerint'!C85)</f>
        <v>0</v>
      </c>
      <c r="D10" s="108">
        <f>SUM('Kiadások COFOG szerint'!D11+'Kiadások COFOG szerint'!D85)</f>
        <v>900000</v>
      </c>
      <c r="E10" s="356">
        <f>SUM('Kiadások COFOG szerint'!E11+'Kiadások COFOG szerint'!E85)</f>
        <v>0</v>
      </c>
      <c r="F10" s="361">
        <f>SUM('Kiadások COFOG szerint'!F11+'Kiadások COFOG szerint'!F85)</f>
        <v>900000</v>
      </c>
      <c r="G10" s="13"/>
    </row>
    <row r="11" spans="1:7" ht="22.5" customHeight="1" x14ac:dyDescent="0.2">
      <c r="A11" s="106" t="s">
        <v>106</v>
      </c>
      <c r="B11" s="107" t="s">
        <v>105</v>
      </c>
      <c r="C11" s="108">
        <f>SUM('Kiadások COFOG szerint'!C28)</f>
        <v>0</v>
      </c>
      <c r="D11" s="108">
        <f t="shared" si="0"/>
        <v>0</v>
      </c>
      <c r="E11" s="109">
        <v>0</v>
      </c>
      <c r="F11" s="110">
        <f>SUM('Kiadások COFOG szerint'!F28)</f>
        <v>0</v>
      </c>
      <c r="G11" s="13"/>
    </row>
    <row r="12" spans="1:7" ht="22.5" customHeight="1" x14ac:dyDescent="0.2">
      <c r="A12" s="111" t="s">
        <v>67</v>
      </c>
      <c r="B12" s="112" t="s">
        <v>68</v>
      </c>
      <c r="C12" s="108">
        <f>SUM('Kiadások COFOG szerint'!C12,'Kiadások COFOG szerint'!C29,'Kiadások COFOG szerint'!C71,'Kiadások COFOG szerint'!C86)</f>
        <v>876000</v>
      </c>
      <c r="D12" s="108">
        <f t="shared" si="0"/>
        <v>25000</v>
      </c>
      <c r="E12" s="109">
        <v>0</v>
      </c>
      <c r="F12" s="113">
        <f>SUM('Kiadások COFOG szerint'!F12,'Kiadások COFOG szerint'!F29,'Kiadások COFOG szerint'!F71,'Kiadások COFOG szerint'!F86)</f>
        <v>901000</v>
      </c>
    </row>
    <row r="13" spans="1:7" ht="22.5" customHeight="1" x14ac:dyDescent="0.2">
      <c r="A13" s="111" t="s">
        <v>5</v>
      </c>
      <c r="B13" s="112" t="s">
        <v>22</v>
      </c>
      <c r="C13" s="108">
        <f>SUM('Kiadások COFOG szerint'!C13,'Kiadások COFOG szerint'!C30)</f>
        <v>250000</v>
      </c>
      <c r="D13" s="108">
        <f t="shared" si="0"/>
        <v>0</v>
      </c>
      <c r="E13" s="109">
        <f>F13/C13*100</f>
        <v>100</v>
      </c>
      <c r="F13" s="113">
        <f>SUM('Kiadások COFOG szerint'!F13,'Kiadások COFOG szerint'!F30)</f>
        <v>250000</v>
      </c>
      <c r="G13" s="13"/>
    </row>
    <row r="14" spans="1:7" ht="22.5" customHeight="1" x14ac:dyDescent="0.2">
      <c r="A14" s="111" t="s">
        <v>6</v>
      </c>
      <c r="B14" s="112" t="s">
        <v>23</v>
      </c>
      <c r="C14" s="108">
        <f>SUM('Kiadások COFOG szerint'!C14,'Kiadások COFOG szerint'!C31,'Kiadások COFOG szerint'!C72,'Kiadások COFOG szerint'!C87)</f>
        <v>156000</v>
      </c>
      <c r="D14" s="108">
        <f t="shared" si="0"/>
        <v>0</v>
      </c>
      <c r="E14" s="109">
        <f>F14/C14*100</f>
        <v>100</v>
      </c>
      <c r="F14" s="113">
        <f>SUM('Kiadások COFOG szerint'!F14,'Kiadások COFOG szerint'!F31,'Kiadások COFOG szerint'!F72,'Kiadások COFOG szerint'!F87)</f>
        <v>156000</v>
      </c>
      <c r="G14" s="13"/>
    </row>
    <row r="15" spans="1:7" ht="22.5" customHeight="1" x14ac:dyDescent="0.2">
      <c r="A15" s="111" t="s">
        <v>7</v>
      </c>
      <c r="B15" s="112" t="s">
        <v>24</v>
      </c>
      <c r="C15" s="108">
        <f>SUM('Kiadások COFOG szerint'!C15,'Kiadások COFOG szerint'!C32,'Kiadások COFOG szerint'!C73,'Kiadások COFOG szerint'!C88)</f>
        <v>1824000</v>
      </c>
      <c r="D15" s="108">
        <f t="shared" si="0"/>
        <v>652000</v>
      </c>
      <c r="E15" s="109">
        <f>F15/C15*100</f>
        <v>135.74561403508773</v>
      </c>
      <c r="F15" s="113">
        <f>SUM('Kiadások COFOG szerint'!F15,'Kiadások COFOG szerint'!F32,'Kiadások COFOG szerint'!F73,'Kiadások COFOG szerint'!F88)</f>
        <v>2476000</v>
      </c>
    </row>
    <row r="16" spans="1:7" ht="22.5" customHeight="1" x14ac:dyDescent="0.2">
      <c r="A16" s="111" t="s">
        <v>8</v>
      </c>
      <c r="B16" s="112" t="s">
        <v>124</v>
      </c>
      <c r="C16" s="234">
        <f>SUM('Kiadások COFOG szerint'!C16,'Kiadások COFOG szerint'!C33,'Kiadások COFOG szerint'!C74,'Kiadások COFOG szerint'!C89)</f>
        <v>6120000</v>
      </c>
      <c r="D16" s="108">
        <f t="shared" si="0"/>
        <v>-2590000</v>
      </c>
      <c r="E16" s="109">
        <v>0</v>
      </c>
      <c r="F16" s="113">
        <f>SUM('Kiadások COFOG szerint'!F16,'Kiadások COFOG szerint'!F33,'Kiadások COFOG szerint'!F74,'Kiadások COFOG szerint'!F89)</f>
        <v>3530000</v>
      </c>
    </row>
    <row r="17" spans="1:10" ht="22.5" customHeight="1" thickBot="1" x14ac:dyDescent="0.25">
      <c r="A17" s="362" t="s">
        <v>121</v>
      </c>
      <c r="B17" s="363" t="s">
        <v>125</v>
      </c>
      <c r="C17" s="143">
        <f>SUM('Kiadások COFOG szerint'!C17,'Kiadások COFOG szerint'!C34)</f>
        <v>0</v>
      </c>
      <c r="D17" s="364">
        <f t="shared" si="0"/>
        <v>0</v>
      </c>
      <c r="E17" s="365">
        <v>0</v>
      </c>
      <c r="F17" s="366">
        <f>SUM('Kiadások COFOG szerint'!F17,'Kiadások COFOG szerint'!F34)</f>
        <v>0</v>
      </c>
    </row>
    <row r="18" spans="1:10" ht="24" customHeight="1" thickBot="1" x14ac:dyDescent="0.25">
      <c r="A18" s="418" t="s">
        <v>35</v>
      </c>
      <c r="B18" s="419"/>
      <c r="C18" s="195">
        <f>SUM(C8:C17)</f>
        <v>54936000</v>
      </c>
      <c r="D18" s="195">
        <f>SUM(D8:D17)</f>
        <v>10327000</v>
      </c>
      <c r="E18" s="118">
        <f>F18/C18*100</f>
        <v>118.7982379496141</v>
      </c>
      <c r="F18" s="117">
        <f>SUM(F8:F17)</f>
        <v>65263000</v>
      </c>
      <c r="H18" s="47"/>
    </row>
    <row r="19" spans="1:10" ht="20.100000000000001" customHeight="1" x14ac:dyDescent="0.2">
      <c r="A19" s="106" t="s">
        <v>9</v>
      </c>
      <c r="B19" s="107" t="s">
        <v>26</v>
      </c>
      <c r="C19" s="108">
        <f>SUM('Kiadások COFOG szerint'!C19,'Kiadások COFOG szerint'!C36,'Kiadások COFOG szerint'!C43,'Kiadások COFOG szerint'!C76,'Kiadások COFOG szerint'!C91)</f>
        <v>8524000</v>
      </c>
      <c r="D19" s="108">
        <f>F19-C19</f>
        <v>606000</v>
      </c>
      <c r="E19" s="109">
        <f>F19/C19*100</f>
        <v>107.10933833880807</v>
      </c>
      <c r="F19" s="110">
        <f>SUM('Kiadások COFOG szerint'!F19+'Kiadások COFOG szerint'!F36+'Kiadások COFOG szerint'!F76+'Kiadások COFOG szerint'!F91+'Kiadások COFOG szerint'!F44)</f>
        <v>9130000</v>
      </c>
      <c r="G19" s="13"/>
    </row>
    <row r="20" spans="1:10" ht="23.25" customHeight="1" thickBot="1" x14ac:dyDescent="0.25">
      <c r="A20" s="114" t="s">
        <v>10</v>
      </c>
      <c r="B20" s="115" t="s">
        <v>27</v>
      </c>
      <c r="C20" s="116">
        <v>0</v>
      </c>
      <c r="D20" s="108">
        <f>F20-C20</f>
        <v>450000</v>
      </c>
      <c r="E20" s="109"/>
      <c r="F20" s="110">
        <f>SUM('Kiadások COFOG szerint'!F20+'Kiadások COFOG szerint'!F37+'Kiadások COFOG szerint'!F77+'Kiadások COFOG szerint'!F92)</f>
        <v>450000</v>
      </c>
      <c r="G20" s="13"/>
    </row>
    <row r="21" spans="1:10" ht="24.95" customHeight="1" thickBot="1" x14ac:dyDescent="0.25">
      <c r="A21" s="418" t="s">
        <v>36</v>
      </c>
      <c r="B21" s="419"/>
      <c r="C21" s="195">
        <f>SUM(C19:C20)</f>
        <v>8524000</v>
      </c>
      <c r="D21" s="195">
        <f t="shared" ref="D21" si="1">SUM(D19:D20)</f>
        <v>1056000</v>
      </c>
      <c r="E21" s="118">
        <f t="shared" ref="E21:E31" si="2">F21/C21*100</f>
        <v>112.38854997653685</v>
      </c>
      <c r="F21" s="117">
        <f>SUM(F19:F20)</f>
        <v>9580000</v>
      </c>
    </row>
    <row r="22" spans="1:10" ht="20.100000000000001" customHeight="1" x14ac:dyDescent="0.2">
      <c r="A22" s="267" t="s">
        <v>11</v>
      </c>
      <c r="B22" s="120" t="s">
        <v>28</v>
      </c>
      <c r="C22" s="121">
        <f>SUM('Kiadások COFOG szerint'!C45)</f>
        <v>57200</v>
      </c>
      <c r="D22" s="121">
        <f t="shared" ref="D22:D32" si="3">F22-C22</f>
        <v>0</v>
      </c>
      <c r="E22" s="122">
        <f t="shared" si="2"/>
        <v>100</v>
      </c>
      <c r="F22" s="123">
        <f>'Kiadások COFOG szerint'!F45</f>
        <v>57200</v>
      </c>
      <c r="G22" s="13"/>
    </row>
    <row r="23" spans="1:10" ht="20.100000000000001" customHeight="1" x14ac:dyDescent="0.2">
      <c r="A23" s="119" t="s">
        <v>12</v>
      </c>
      <c r="B23" s="124" t="s">
        <v>29</v>
      </c>
      <c r="C23" s="125">
        <f>SUM('Kiadások COFOG szerint'!C46)</f>
        <v>1050000</v>
      </c>
      <c r="D23" s="121">
        <f t="shared" si="3"/>
        <v>250000</v>
      </c>
      <c r="E23" s="122">
        <f t="shared" si="2"/>
        <v>123.80952380952381</v>
      </c>
      <c r="F23" s="126">
        <f>'Kiadások COFOG szerint'!F46</f>
        <v>1300000</v>
      </c>
      <c r="G23" s="13"/>
    </row>
    <row r="24" spans="1:10" ht="20.100000000000001" customHeight="1" x14ac:dyDescent="0.2">
      <c r="A24" s="119" t="s">
        <v>70</v>
      </c>
      <c r="B24" s="112" t="s">
        <v>71</v>
      </c>
      <c r="C24" s="125">
        <f>SUM('Kiadások COFOG szerint'!C47)</f>
        <v>96000</v>
      </c>
      <c r="D24" s="121">
        <f t="shared" si="3"/>
        <v>0</v>
      </c>
      <c r="E24" s="122">
        <f t="shared" si="2"/>
        <v>100</v>
      </c>
      <c r="F24" s="113">
        <f>'Kiadások COFOG szerint'!F47</f>
        <v>96000</v>
      </c>
      <c r="G24" s="13"/>
    </row>
    <row r="25" spans="1:10" ht="20.100000000000001" customHeight="1" x14ac:dyDescent="0.2">
      <c r="A25" s="119" t="s">
        <v>73</v>
      </c>
      <c r="B25" s="128" t="s">
        <v>72</v>
      </c>
      <c r="C25" s="125">
        <f>SUM('Kiadások COFOG szerint'!C48)</f>
        <v>60000</v>
      </c>
      <c r="D25" s="121">
        <f t="shared" si="3"/>
        <v>6000</v>
      </c>
      <c r="E25" s="122">
        <f t="shared" si="2"/>
        <v>110.00000000000001</v>
      </c>
      <c r="F25" s="113">
        <f>'Kiadások COFOG szerint'!F48</f>
        <v>66000</v>
      </c>
      <c r="G25" s="13"/>
    </row>
    <row r="26" spans="1:10" ht="20.100000000000001" customHeight="1" x14ac:dyDescent="0.2">
      <c r="A26" s="119" t="s">
        <v>78</v>
      </c>
      <c r="B26" s="128" t="s">
        <v>96</v>
      </c>
      <c r="C26" s="125">
        <f>SUM('Kiadások COFOG szerint'!C49)</f>
        <v>2050000</v>
      </c>
      <c r="D26" s="121">
        <f t="shared" si="3"/>
        <v>450000</v>
      </c>
      <c r="E26" s="122">
        <f t="shared" si="2"/>
        <v>121.95121951219512</v>
      </c>
      <c r="F26" s="113">
        <f>'Kiadások COFOG szerint'!F50+'Kiadások COFOG szerint'!F51+'Kiadások COFOG szerint'!F52</f>
        <v>2500000</v>
      </c>
      <c r="G26" s="13"/>
    </row>
    <row r="27" spans="1:10" ht="20.100000000000001" customHeight="1" x14ac:dyDescent="0.2">
      <c r="A27" s="119" t="s">
        <v>76</v>
      </c>
      <c r="B27" s="128" t="s">
        <v>97</v>
      </c>
      <c r="C27" s="127">
        <f>SUM('Kiadások COFOG szerint'!C53)</f>
        <v>2500000</v>
      </c>
      <c r="D27" s="121">
        <f t="shared" si="3"/>
        <v>500000</v>
      </c>
      <c r="E27" s="122">
        <f t="shared" si="2"/>
        <v>120</v>
      </c>
      <c r="F27" s="113">
        <f>'Kiadások COFOG szerint'!F53</f>
        <v>3000000</v>
      </c>
      <c r="G27" s="13"/>
    </row>
    <row r="28" spans="1:10" ht="20.100000000000001" customHeight="1" x14ac:dyDescent="0.2">
      <c r="A28" s="119" t="s">
        <v>108</v>
      </c>
      <c r="B28" s="128" t="s">
        <v>111</v>
      </c>
      <c r="C28" s="127">
        <f>SUM('Kiadások COFOG szerint'!C54)</f>
        <v>525500</v>
      </c>
      <c r="D28" s="121">
        <f t="shared" si="3"/>
        <v>2648300</v>
      </c>
      <c r="E28" s="122">
        <f t="shared" si="2"/>
        <v>603.95813510941957</v>
      </c>
      <c r="F28" s="113">
        <f>'Kiadások COFOG szerint'!F54</f>
        <v>3173800</v>
      </c>
      <c r="G28" s="13"/>
    </row>
    <row r="29" spans="1:10" ht="20.100000000000001" customHeight="1" x14ac:dyDescent="0.2">
      <c r="A29" s="129" t="s">
        <v>14</v>
      </c>
      <c r="B29" s="128" t="s">
        <v>30</v>
      </c>
      <c r="C29" s="127">
        <f>SUM('Kiadások COFOG szerint'!C55)</f>
        <v>500000</v>
      </c>
      <c r="D29" s="121">
        <f t="shared" si="3"/>
        <v>0</v>
      </c>
      <c r="E29" s="122">
        <f t="shared" si="2"/>
        <v>100</v>
      </c>
      <c r="F29" s="113">
        <f>'Kiadások COFOG szerint'!F55</f>
        <v>500000</v>
      </c>
      <c r="G29" s="13"/>
      <c r="J29" s="13"/>
    </row>
    <row r="30" spans="1:10" ht="20.100000000000001" customHeight="1" x14ac:dyDescent="0.2">
      <c r="A30" s="172" t="s">
        <v>15</v>
      </c>
      <c r="B30" s="128" t="s">
        <v>31</v>
      </c>
      <c r="C30" s="127">
        <f>SUM('Kiadások COFOG szerint'!C56)</f>
        <v>100000</v>
      </c>
      <c r="D30" s="121">
        <f t="shared" si="3"/>
        <v>0</v>
      </c>
      <c r="E30" s="122">
        <f t="shared" si="2"/>
        <v>100</v>
      </c>
      <c r="F30" s="113">
        <f>'Kiadások COFOG szerint'!F56</f>
        <v>100000</v>
      </c>
      <c r="G30" s="13"/>
      <c r="J30" s="13"/>
    </row>
    <row r="31" spans="1:10" ht="25.5" customHeight="1" x14ac:dyDescent="0.2">
      <c r="A31" s="130" t="s">
        <v>16</v>
      </c>
      <c r="B31" s="112" t="s">
        <v>32</v>
      </c>
      <c r="C31" s="127">
        <f>SUM('Kiadások COFOG szerint'!C57)</f>
        <v>1686260</v>
      </c>
      <c r="D31" s="121">
        <f t="shared" si="3"/>
        <v>513740</v>
      </c>
      <c r="E31" s="122">
        <f t="shared" si="2"/>
        <v>130.466238895544</v>
      </c>
      <c r="F31" s="113">
        <f>'Kiadások COFOG szerint'!F57</f>
        <v>2200000</v>
      </c>
      <c r="G31" s="13"/>
      <c r="J31" s="13"/>
    </row>
    <row r="32" spans="1:10" ht="20.100000000000001" customHeight="1" thickBot="1" x14ac:dyDescent="0.25">
      <c r="A32" s="131" t="s">
        <v>17</v>
      </c>
      <c r="B32" s="115" t="s">
        <v>33</v>
      </c>
      <c r="C32" s="127">
        <f>SUM('Kiadások COFOG szerint'!C58)</f>
        <v>5000</v>
      </c>
      <c r="D32" s="121">
        <f t="shared" si="3"/>
        <v>0</v>
      </c>
      <c r="E32" s="122">
        <v>0</v>
      </c>
      <c r="F32" s="132">
        <f>'Kiadások COFOG szerint'!F58</f>
        <v>5000</v>
      </c>
      <c r="G32" s="13"/>
      <c r="J32" s="13"/>
    </row>
    <row r="33" spans="1:10" ht="24.95" customHeight="1" thickBot="1" x14ac:dyDescent="0.25">
      <c r="A33" s="418" t="s">
        <v>37</v>
      </c>
      <c r="B33" s="419"/>
      <c r="C33" s="195">
        <f>SUM(C22:C32)</f>
        <v>8629960</v>
      </c>
      <c r="D33" s="195">
        <f t="shared" ref="D33" si="4">SUM(D22:D32)</f>
        <v>4368040</v>
      </c>
      <c r="E33" s="133">
        <f>F33/C33*100</f>
        <v>150.61483483121589</v>
      </c>
      <c r="F33" s="117">
        <f>SUM(F22:F32)</f>
        <v>12998000</v>
      </c>
      <c r="J33" s="13"/>
    </row>
    <row r="34" spans="1:10" ht="24.95" customHeight="1" thickBot="1" x14ac:dyDescent="0.25">
      <c r="A34" s="130" t="s">
        <v>137</v>
      </c>
      <c r="B34" s="112" t="s">
        <v>138</v>
      </c>
      <c r="C34" s="127">
        <f>SUM('Kiadások COFOG szerint'!C60)</f>
        <v>0</v>
      </c>
      <c r="D34" s="127">
        <f>SUM('Kiadások COFOG szerint'!D60)</f>
        <v>0</v>
      </c>
      <c r="E34" s="122">
        <v>0</v>
      </c>
      <c r="F34" s="113">
        <f>SUM('Kiadások COFOG szerint'!F60)</f>
        <v>0</v>
      </c>
      <c r="J34" s="13"/>
    </row>
    <row r="35" spans="1:10" ht="24.95" customHeight="1" thickBot="1" x14ac:dyDescent="0.25">
      <c r="A35" s="418" t="s">
        <v>138</v>
      </c>
      <c r="B35" s="419"/>
      <c r="C35" s="300">
        <f t="shared" ref="C35:D35" si="5">SUM(C34)</f>
        <v>0</v>
      </c>
      <c r="D35" s="300">
        <f t="shared" si="5"/>
        <v>0</v>
      </c>
      <c r="E35" s="301">
        <v>0</v>
      </c>
      <c r="F35" s="300">
        <f>SUM(F34)</f>
        <v>0</v>
      </c>
      <c r="J35" s="13"/>
    </row>
    <row r="36" spans="1:10" ht="24.95" customHeight="1" x14ac:dyDescent="0.2">
      <c r="A36" s="136" t="s">
        <v>85</v>
      </c>
      <c r="B36" s="137" t="s">
        <v>86</v>
      </c>
      <c r="C36" s="138">
        <f>SUM('Kiadások COFOG szerint'!C62)</f>
        <v>465000</v>
      </c>
      <c r="D36" s="331">
        <f>F36-C36</f>
        <v>-165000</v>
      </c>
      <c r="E36" s="203">
        <f>F36/C36*100</f>
        <v>64.516129032258064</v>
      </c>
      <c r="F36" s="139">
        <f>'Kiadások COFOG szerint'!F62</f>
        <v>300000</v>
      </c>
      <c r="J36" s="13"/>
    </row>
    <row r="37" spans="1:10" ht="24.95" customHeight="1" thickBot="1" x14ac:dyDescent="0.25">
      <c r="A37" s="140" t="s">
        <v>87</v>
      </c>
      <c r="B37" s="141" t="s">
        <v>89</v>
      </c>
      <c r="C37" s="142">
        <f>SUM('Kiadások COFOG szerint'!C63)</f>
        <v>125550</v>
      </c>
      <c r="D37" s="330">
        <f>F37-C37</f>
        <v>-44550</v>
      </c>
      <c r="E37" s="109">
        <f>F37/C37*100</f>
        <v>64.516129032258064</v>
      </c>
      <c r="F37" s="144">
        <f>'Kiadások COFOG szerint'!F63</f>
        <v>81000</v>
      </c>
      <c r="J37" s="13"/>
    </row>
    <row r="38" spans="1:10" ht="24.95" customHeight="1" thickBot="1" x14ac:dyDescent="0.25">
      <c r="A38" s="418" t="s">
        <v>98</v>
      </c>
      <c r="B38" s="419"/>
      <c r="C38" s="195">
        <f>SUM(C36:C37)</f>
        <v>590550</v>
      </c>
      <c r="D38" s="195">
        <f t="shared" ref="D38" si="6">SUM(D36:D37)</f>
        <v>-209550</v>
      </c>
      <c r="E38" s="133">
        <f>F38/C38*100</f>
        <v>64.516129032258064</v>
      </c>
      <c r="F38" s="117">
        <f>SUM(F36:F37)</f>
        <v>381000</v>
      </c>
      <c r="J38" s="13"/>
    </row>
    <row r="39" spans="1:10" ht="21.75" customHeight="1" thickBot="1" x14ac:dyDescent="0.25">
      <c r="A39" s="420" t="s">
        <v>1</v>
      </c>
      <c r="B39" s="421"/>
      <c r="C39" s="134">
        <f>C18+C21+C33+C38</f>
        <v>72680510</v>
      </c>
      <c r="D39" s="134">
        <f>D18+D21+D33+D38+D35</f>
        <v>15541490</v>
      </c>
      <c r="E39" s="135">
        <f>F39/C39*100</f>
        <v>121.38329794328631</v>
      </c>
      <c r="F39" s="204">
        <f>SUM(F18,F21,F33,F35,F38)</f>
        <v>88222000</v>
      </c>
      <c r="G39" s="15"/>
      <c r="J39" s="13"/>
    </row>
    <row r="40" spans="1:10" x14ac:dyDescent="0.2">
      <c r="A40" s="1"/>
      <c r="J40" s="13"/>
    </row>
    <row r="41" spans="1:10" x14ac:dyDescent="0.2">
      <c r="A41" s="1"/>
      <c r="J41" s="13"/>
    </row>
    <row r="42" spans="1:10" x14ac:dyDescent="0.2">
      <c r="A42" s="1"/>
      <c r="J42" s="13"/>
    </row>
    <row r="43" spans="1:10" x14ac:dyDescent="0.2">
      <c r="A43" s="1"/>
      <c r="J43" s="13"/>
    </row>
    <row r="44" spans="1:10" x14ac:dyDescent="0.2">
      <c r="A44" s="1"/>
      <c r="J44" s="13"/>
    </row>
    <row r="45" spans="1:10" x14ac:dyDescent="0.2">
      <c r="A45" s="1"/>
      <c r="J45" s="13"/>
    </row>
    <row r="46" spans="1:10" x14ac:dyDescent="0.2">
      <c r="A46" s="1"/>
      <c r="J46" s="13"/>
    </row>
    <row r="47" spans="1:10" x14ac:dyDescent="0.2">
      <c r="J47" s="13"/>
    </row>
    <row r="48" spans="1:10" x14ac:dyDescent="0.2">
      <c r="J48" s="14"/>
    </row>
    <row r="49" spans="10:10" x14ac:dyDescent="0.2">
      <c r="J49" s="14"/>
    </row>
    <row r="50" spans="10:10" x14ac:dyDescent="0.2">
      <c r="J50" s="14"/>
    </row>
    <row r="51" spans="10:10" x14ac:dyDescent="0.2">
      <c r="J51" s="14"/>
    </row>
    <row r="52" spans="10:10" x14ac:dyDescent="0.2">
      <c r="J52" s="14"/>
    </row>
    <row r="53" spans="10:10" x14ac:dyDescent="0.2">
      <c r="J53" s="14"/>
    </row>
    <row r="54" spans="10:10" x14ac:dyDescent="0.2">
      <c r="J54" s="14"/>
    </row>
  </sheetData>
  <mergeCells count="12">
    <mergeCell ref="A18:B18"/>
    <mergeCell ref="A21:B21"/>
    <mergeCell ref="A33:B33"/>
    <mergeCell ref="A39:B39"/>
    <mergeCell ref="A2:F2"/>
    <mergeCell ref="A3:F3"/>
    <mergeCell ref="A5:F5"/>
    <mergeCell ref="A6:A7"/>
    <mergeCell ref="B6:B7"/>
    <mergeCell ref="A38:B38"/>
    <mergeCell ref="C6:E6"/>
    <mergeCell ref="A35:B35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76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"/>
  <sheetViews>
    <sheetView topLeftCell="A75" zoomScaleNormal="100" workbookViewId="0">
      <selection activeCell="C97" sqref="C97"/>
    </sheetView>
  </sheetViews>
  <sheetFormatPr defaultRowHeight="12.75" x14ac:dyDescent="0.2"/>
  <cols>
    <col min="1" max="1" width="11.5703125" customWidth="1"/>
    <col min="2" max="2" width="39.140625" customWidth="1"/>
    <col min="3" max="3" width="12.710937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style="46" bestFit="1" customWidth="1"/>
    <col min="9" max="9" width="11.42578125" style="46" bestFit="1" customWidth="1"/>
    <col min="10" max="11" width="15.28515625" style="46" bestFit="1" customWidth="1"/>
    <col min="12" max="12" width="13.7109375" style="46" bestFit="1" customWidth="1"/>
    <col min="13" max="13" width="12.5703125" bestFit="1" customWidth="1"/>
    <col min="14" max="14" width="15.28515625" bestFit="1" customWidth="1"/>
  </cols>
  <sheetData>
    <row r="1" spans="1:16" x14ac:dyDescent="0.2">
      <c r="D1" s="379"/>
      <c r="E1" s="379"/>
      <c r="F1" s="379"/>
    </row>
    <row r="2" spans="1:16" x14ac:dyDescent="0.2">
      <c r="A2" s="399" t="s">
        <v>174</v>
      </c>
      <c r="B2" s="399"/>
      <c r="C2" s="399"/>
      <c r="D2" s="399"/>
      <c r="E2" s="399"/>
      <c r="F2" s="399"/>
    </row>
    <row r="3" spans="1:16" x14ac:dyDescent="0.2">
      <c r="A3" s="400" t="s">
        <v>173</v>
      </c>
      <c r="B3" s="400"/>
      <c r="C3" s="400"/>
      <c r="D3" s="400"/>
      <c r="E3" s="400"/>
      <c r="F3" s="400"/>
    </row>
    <row r="4" spans="1:16" x14ac:dyDescent="0.2">
      <c r="F4" s="8" t="s">
        <v>49</v>
      </c>
    </row>
    <row r="5" spans="1:16" ht="21.95" customHeight="1" thickBot="1" x14ac:dyDescent="0.25">
      <c r="A5" s="451" t="s">
        <v>41</v>
      </c>
      <c r="B5" s="451"/>
      <c r="C5" s="451"/>
      <c r="D5" s="451"/>
      <c r="E5" s="451"/>
      <c r="F5" s="451"/>
      <c r="H5" s="63"/>
      <c r="I5" s="63"/>
      <c r="J5" s="64"/>
      <c r="K5" s="64"/>
      <c r="L5" s="64"/>
      <c r="M5" s="6"/>
      <c r="N5" s="6"/>
      <c r="O5" s="6"/>
      <c r="P5" s="6"/>
    </row>
    <row r="6" spans="1:16" ht="21.95" customHeight="1" x14ac:dyDescent="0.2">
      <c r="A6" s="438" t="s">
        <v>103</v>
      </c>
      <c r="B6" s="439"/>
      <c r="C6" s="439"/>
      <c r="D6" s="439"/>
      <c r="E6" s="439"/>
      <c r="F6" s="440"/>
      <c r="H6" s="432" t="s">
        <v>155</v>
      </c>
      <c r="I6" s="432"/>
      <c r="J6" s="262">
        <v>56764450</v>
      </c>
      <c r="K6" s="63"/>
      <c r="L6" s="63"/>
      <c r="M6" s="6"/>
      <c r="N6" s="6"/>
      <c r="O6" s="6"/>
      <c r="P6" s="6"/>
    </row>
    <row r="7" spans="1:16" ht="18.75" customHeight="1" x14ac:dyDescent="0.2">
      <c r="A7" s="441" t="s">
        <v>0</v>
      </c>
      <c r="B7" s="443" t="s">
        <v>39</v>
      </c>
      <c r="C7" s="445">
        <v>2021</v>
      </c>
      <c r="D7" s="409"/>
      <c r="E7" s="410"/>
      <c r="F7" s="16">
        <v>2022</v>
      </c>
      <c r="H7" s="63"/>
      <c r="I7" s="63"/>
      <c r="J7" s="63"/>
      <c r="K7" s="63"/>
      <c r="L7" s="63"/>
      <c r="M7" s="6"/>
      <c r="N7" s="6"/>
      <c r="O7" s="6"/>
      <c r="P7" s="6"/>
    </row>
    <row r="8" spans="1:16" ht="25.5" customHeight="1" thickBot="1" x14ac:dyDescent="0.25">
      <c r="A8" s="442"/>
      <c r="B8" s="444"/>
      <c r="C8" s="187" t="s">
        <v>59</v>
      </c>
      <c r="D8" s="196" t="s">
        <v>117</v>
      </c>
      <c r="E8" s="36" t="s">
        <v>58</v>
      </c>
      <c r="F8" s="17" t="s">
        <v>59</v>
      </c>
    </row>
    <row r="9" spans="1:16" ht="21.95" customHeight="1" x14ac:dyDescent="0.2">
      <c r="A9" s="61" t="s">
        <v>4</v>
      </c>
      <c r="B9" s="212" t="s">
        <v>21</v>
      </c>
      <c r="C9" s="222">
        <v>18020000</v>
      </c>
      <c r="D9" s="263">
        <f t="shared" ref="D9:D17" si="0">F9-C9</f>
        <v>-670000</v>
      </c>
      <c r="E9" s="44">
        <f>F9/C9*100</f>
        <v>96.281908990011104</v>
      </c>
      <c r="F9" s="42">
        <f>SUM('Részletes cofogos'!G5)</f>
        <v>17350000</v>
      </c>
      <c r="H9" s="205"/>
    </row>
    <row r="10" spans="1:16" ht="21.95" customHeight="1" x14ac:dyDescent="0.2">
      <c r="A10" s="24" t="s">
        <v>115</v>
      </c>
      <c r="B10" s="38" t="s">
        <v>114</v>
      </c>
      <c r="C10" s="218">
        <v>420000</v>
      </c>
      <c r="D10" s="338">
        <f t="shared" si="0"/>
        <v>-420000</v>
      </c>
      <c r="E10" s="44">
        <f>F10/C10*100</f>
        <v>0</v>
      </c>
      <c r="F10" s="42">
        <f>SUM('Részletes cofogos'!G16)</f>
        <v>0</v>
      </c>
      <c r="H10" s="205"/>
    </row>
    <row r="11" spans="1:16" ht="21.95" customHeight="1" x14ac:dyDescent="0.2">
      <c r="A11" s="24" t="s">
        <v>179</v>
      </c>
      <c r="B11" s="38" t="s">
        <v>180</v>
      </c>
      <c r="C11" s="38"/>
      <c r="D11" s="338">
        <f t="shared" si="0"/>
        <v>500000</v>
      </c>
      <c r="E11" s="44">
        <v>0</v>
      </c>
      <c r="F11" s="42">
        <f>SUM('Részletes cofogos'!G17)</f>
        <v>500000</v>
      </c>
      <c r="H11" s="205"/>
    </row>
    <row r="12" spans="1:16" ht="21.95" customHeight="1" x14ac:dyDescent="0.2">
      <c r="A12" s="43" t="s">
        <v>67</v>
      </c>
      <c r="B12" s="39" t="s">
        <v>68</v>
      </c>
      <c r="C12" s="219">
        <v>348000</v>
      </c>
      <c r="D12" s="338">
        <f t="shared" si="0"/>
        <v>13000</v>
      </c>
      <c r="E12" s="44">
        <v>0</v>
      </c>
      <c r="F12" s="42">
        <f>SUM('Részletes cofogos'!G18)</f>
        <v>361000</v>
      </c>
    </row>
    <row r="13" spans="1:16" ht="21.95" customHeight="1" x14ac:dyDescent="0.2">
      <c r="A13" s="43" t="s">
        <v>5</v>
      </c>
      <c r="B13" s="39" t="s">
        <v>22</v>
      </c>
      <c r="C13" s="219">
        <v>250000</v>
      </c>
      <c r="D13" s="338">
        <f t="shared" si="0"/>
        <v>0</v>
      </c>
      <c r="E13" s="44">
        <f>F13/C13*100</f>
        <v>100</v>
      </c>
      <c r="F13" s="42">
        <f>SUM('Részletes cofogos'!G19)</f>
        <v>250000</v>
      </c>
    </row>
    <row r="14" spans="1:16" ht="21.95" customHeight="1" x14ac:dyDescent="0.2">
      <c r="A14" s="2" t="s">
        <v>6</v>
      </c>
      <c r="B14" s="39" t="s">
        <v>23</v>
      </c>
      <c r="C14" s="337">
        <v>72000</v>
      </c>
      <c r="D14" s="338">
        <f t="shared" si="0"/>
        <v>-12000</v>
      </c>
      <c r="E14" s="44">
        <f>F14/C14*100</f>
        <v>83.333333333333343</v>
      </c>
      <c r="F14" s="42">
        <f>SUM('Részletes cofogos'!G20)</f>
        <v>60000</v>
      </c>
    </row>
    <row r="15" spans="1:16" ht="21.95" customHeight="1" x14ac:dyDescent="0.2">
      <c r="A15" s="2" t="s">
        <v>7</v>
      </c>
      <c r="B15" s="39" t="s">
        <v>24</v>
      </c>
      <c r="C15" s="219">
        <v>538000</v>
      </c>
      <c r="D15" s="338">
        <f t="shared" si="0"/>
        <v>302000</v>
      </c>
      <c r="E15" s="44">
        <f>F15/C15*100</f>
        <v>156.13382899628252</v>
      </c>
      <c r="F15" s="10">
        <f>SUM('Részletes cofogos'!G22)</f>
        <v>840000</v>
      </c>
    </row>
    <row r="16" spans="1:16" ht="21.95" customHeight="1" x14ac:dyDescent="0.2">
      <c r="A16" s="43" t="s">
        <v>8</v>
      </c>
      <c r="B16" s="210" t="s">
        <v>25</v>
      </c>
      <c r="C16" s="218">
        <v>3000000</v>
      </c>
      <c r="D16" s="338">
        <f t="shared" si="0"/>
        <v>-2670000</v>
      </c>
      <c r="E16" s="44">
        <v>0</v>
      </c>
      <c r="F16" s="10">
        <f>SUM('Részletes cofogos'!G25)</f>
        <v>330000</v>
      </c>
    </row>
    <row r="17" spans="1:8" ht="21.95" customHeight="1" thickBot="1" x14ac:dyDescent="0.25">
      <c r="A17" s="213" t="s">
        <v>121</v>
      </c>
      <c r="B17" s="211" t="s">
        <v>122</v>
      </c>
      <c r="C17" s="337">
        <v>0</v>
      </c>
      <c r="D17" s="221">
        <f t="shared" si="0"/>
        <v>0</v>
      </c>
      <c r="E17" s="50">
        <v>0</v>
      </c>
      <c r="F17" s="209">
        <f>SUM('Részletes cofogos'!G27)</f>
        <v>0</v>
      </c>
    </row>
    <row r="18" spans="1:8" ht="21.95" customHeight="1" thickBot="1" x14ac:dyDescent="0.25">
      <c r="A18" s="433" t="s">
        <v>35</v>
      </c>
      <c r="B18" s="434"/>
      <c r="C18" s="214">
        <f>SUM(C9:C17)</f>
        <v>22648000</v>
      </c>
      <c r="D18" s="215">
        <f t="shared" ref="D18" si="1">SUM(D9:D17)</f>
        <v>-2957000</v>
      </c>
      <c r="E18" s="52">
        <f>F18/C18*100</f>
        <v>86.94365948428117</v>
      </c>
      <c r="F18" s="53">
        <f>SUM(F9:F17)</f>
        <v>19691000</v>
      </c>
    </row>
    <row r="19" spans="1:8" ht="21.95" customHeight="1" x14ac:dyDescent="0.2">
      <c r="A19" s="7" t="s">
        <v>9</v>
      </c>
      <c r="B19" s="38" t="s">
        <v>26</v>
      </c>
      <c r="C19" s="218">
        <v>3511000</v>
      </c>
      <c r="D19" s="263">
        <f>F19-C19</f>
        <v>-851000</v>
      </c>
      <c r="E19" s="44">
        <f>F19/C19*100</f>
        <v>75.761891199088581</v>
      </c>
      <c r="F19" s="12">
        <f>SUM('Részletes cofogos'!G29:G30)</f>
        <v>2660000</v>
      </c>
    </row>
    <row r="20" spans="1:8" ht="21.95" customHeight="1" thickBot="1" x14ac:dyDescent="0.25">
      <c r="A20" s="3" t="s">
        <v>10</v>
      </c>
      <c r="B20" s="40" t="s">
        <v>27</v>
      </c>
      <c r="C20" s="220">
        <v>0</v>
      </c>
      <c r="D20" s="221">
        <f>F20-C20</f>
        <v>240000</v>
      </c>
      <c r="E20" s="44">
        <v>0</v>
      </c>
      <c r="F20" s="11">
        <f>SUM('Részletes cofogos'!G31:G32)</f>
        <v>240000</v>
      </c>
    </row>
    <row r="21" spans="1:8" ht="21.95" customHeight="1" thickBot="1" x14ac:dyDescent="0.25">
      <c r="A21" s="435" t="s">
        <v>69</v>
      </c>
      <c r="B21" s="434"/>
      <c r="C21" s="199">
        <f>SUM(C19:C20)</f>
        <v>3511000</v>
      </c>
      <c r="D21" s="215">
        <f t="shared" ref="D21" si="2">SUM(D19:D20)</f>
        <v>-611000</v>
      </c>
      <c r="E21" s="52">
        <f>F21/C21*100</f>
        <v>82.597550555397319</v>
      </c>
      <c r="F21" s="53">
        <f>SUM(F19:F20)</f>
        <v>2900000</v>
      </c>
    </row>
    <row r="22" spans="1:8" ht="21.95" customHeight="1" thickBot="1" x14ac:dyDescent="0.25">
      <c r="A22" s="436" t="s">
        <v>40</v>
      </c>
      <c r="B22" s="437"/>
      <c r="C22" s="174">
        <f>SUM(C21,C18)</f>
        <v>26159000</v>
      </c>
      <c r="D22" s="174">
        <f t="shared" ref="D22" si="3">SUM(D21,D18)</f>
        <v>-3568000</v>
      </c>
      <c r="E22" s="45">
        <f>F22/C22*100</f>
        <v>86.360334875186368</v>
      </c>
      <c r="F22" s="26">
        <f t="shared" ref="F22" si="4">F18+F21</f>
        <v>22591000</v>
      </c>
      <c r="H22" s="65"/>
    </row>
    <row r="23" spans="1:8" ht="26.25" customHeight="1" thickBot="1" x14ac:dyDescent="0.25">
      <c r="A23" s="448" t="s">
        <v>104</v>
      </c>
      <c r="B23" s="449"/>
      <c r="C23" s="449"/>
      <c r="D23" s="449"/>
      <c r="E23" s="449"/>
      <c r="F23" s="450"/>
      <c r="G23" s="4"/>
    </row>
    <row r="24" spans="1:8" ht="24.95" customHeight="1" x14ac:dyDescent="0.2">
      <c r="A24" s="446" t="s">
        <v>0</v>
      </c>
      <c r="B24" s="447" t="s">
        <v>39</v>
      </c>
      <c r="C24" s="445">
        <v>2021</v>
      </c>
      <c r="D24" s="409"/>
      <c r="E24" s="410"/>
      <c r="F24" s="16">
        <v>2022</v>
      </c>
    </row>
    <row r="25" spans="1:8" ht="24.95" customHeight="1" thickBot="1" x14ac:dyDescent="0.25">
      <c r="A25" s="442"/>
      <c r="B25" s="444"/>
      <c r="C25" s="336" t="s">
        <v>59</v>
      </c>
      <c r="D25" s="196" t="s">
        <v>117</v>
      </c>
      <c r="E25" s="336" t="s">
        <v>58</v>
      </c>
      <c r="F25" s="17" t="s">
        <v>59</v>
      </c>
    </row>
    <row r="26" spans="1:8" ht="21.95" customHeight="1" x14ac:dyDescent="0.2">
      <c r="A26" s="61" t="s">
        <v>4</v>
      </c>
      <c r="B26" s="212" t="s">
        <v>21</v>
      </c>
      <c r="C26" s="222">
        <v>12930000</v>
      </c>
      <c r="D26" s="263">
        <f t="shared" ref="D26:D34" si="5">F26-C26</f>
        <v>9370000</v>
      </c>
      <c r="E26" s="264">
        <f>F26/C26*100</f>
        <v>172.46713070378962</v>
      </c>
      <c r="F26" s="178">
        <f>SUM('Részletes cofogos'!G38)</f>
        <v>22300000</v>
      </c>
    </row>
    <row r="27" spans="1:8" ht="21.95" customHeight="1" x14ac:dyDescent="0.2">
      <c r="A27" s="24" t="s">
        <v>113</v>
      </c>
      <c r="B27" s="38" t="s">
        <v>114</v>
      </c>
      <c r="C27" s="218">
        <v>330000</v>
      </c>
      <c r="D27" s="9">
        <f t="shared" si="5"/>
        <v>-330000</v>
      </c>
      <c r="E27" s="44">
        <f>F27/C27*100</f>
        <v>0</v>
      </c>
      <c r="F27" s="42">
        <f>SUM('Részletes cofogos'!G47)</f>
        <v>0</v>
      </c>
    </row>
    <row r="28" spans="1:8" ht="21.95" customHeight="1" x14ac:dyDescent="0.2">
      <c r="A28" s="24" t="s">
        <v>106</v>
      </c>
      <c r="B28" s="38" t="s">
        <v>105</v>
      </c>
      <c r="C28" s="218">
        <v>0</v>
      </c>
      <c r="D28" s="9">
        <f t="shared" si="5"/>
        <v>0</v>
      </c>
      <c r="E28" s="44">
        <v>0</v>
      </c>
      <c r="F28" s="42">
        <f>SUM('Részletes cofogos'!G48)</f>
        <v>0</v>
      </c>
    </row>
    <row r="29" spans="1:8" ht="21.95" customHeight="1" x14ac:dyDescent="0.2">
      <c r="A29" s="43" t="s">
        <v>67</v>
      </c>
      <c r="B29" s="39" t="s">
        <v>68</v>
      </c>
      <c r="C29" s="219">
        <v>250000</v>
      </c>
      <c r="D29" s="9">
        <f t="shared" si="5"/>
        <v>10000</v>
      </c>
      <c r="E29" s="44">
        <v>0</v>
      </c>
      <c r="F29" s="42">
        <f>SUM('Részletes cofogos'!G49)</f>
        <v>260000</v>
      </c>
    </row>
    <row r="30" spans="1:8" ht="21.95" customHeight="1" x14ac:dyDescent="0.2">
      <c r="A30" s="43" t="s">
        <v>5</v>
      </c>
      <c r="B30" s="39" t="s">
        <v>22</v>
      </c>
      <c r="C30" s="219">
        <v>0</v>
      </c>
      <c r="D30" s="9">
        <f t="shared" si="5"/>
        <v>0</v>
      </c>
      <c r="E30" s="44">
        <v>0</v>
      </c>
      <c r="F30" s="42">
        <f>SUM('Részletes cofogos'!G50)</f>
        <v>0</v>
      </c>
    </row>
    <row r="31" spans="1:8" ht="21.95" customHeight="1" x14ac:dyDescent="0.2">
      <c r="A31" s="2" t="s">
        <v>6</v>
      </c>
      <c r="B31" s="39" t="s">
        <v>23</v>
      </c>
      <c r="C31" s="219">
        <v>36000</v>
      </c>
      <c r="D31" s="9">
        <f t="shared" si="5"/>
        <v>12000</v>
      </c>
      <c r="E31" s="44">
        <f>F31/C31*100</f>
        <v>133.33333333333331</v>
      </c>
      <c r="F31" s="10">
        <f>SUM('Részletes cofogos'!G51)</f>
        <v>48000</v>
      </c>
    </row>
    <row r="32" spans="1:8" ht="21.95" customHeight="1" x14ac:dyDescent="0.2">
      <c r="A32" s="2" t="s">
        <v>7</v>
      </c>
      <c r="B32" s="39" t="s">
        <v>24</v>
      </c>
      <c r="C32" s="219">
        <v>444000</v>
      </c>
      <c r="D32" s="9">
        <f t="shared" si="5"/>
        <v>348000</v>
      </c>
      <c r="E32" s="44">
        <v>0</v>
      </c>
      <c r="F32" s="10">
        <f>SUM('Részletes cofogos'!G53)</f>
        <v>792000</v>
      </c>
    </row>
    <row r="33" spans="1:6" ht="21.95" customHeight="1" x14ac:dyDescent="0.2">
      <c r="A33" s="43" t="s">
        <v>8</v>
      </c>
      <c r="B33" s="217" t="s">
        <v>25</v>
      </c>
      <c r="C33" s="219">
        <v>3120000</v>
      </c>
      <c r="D33" s="9">
        <f t="shared" si="5"/>
        <v>80000</v>
      </c>
      <c r="E33" s="54">
        <v>0</v>
      </c>
      <c r="F33" s="10">
        <f>SUM('Részletes cofogos'!G56)</f>
        <v>3200000</v>
      </c>
    </row>
    <row r="34" spans="1:6" ht="21.95" customHeight="1" thickBot="1" x14ac:dyDescent="0.25">
      <c r="A34" s="213" t="s">
        <v>121</v>
      </c>
      <c r="B34" s="211" t="s">
        <v>122</v>
      </c>
      <c r="C34" s="220">
        <v>0</v>
      </c>
      <c r="D34" s="233">
        <f t="shared" si="5"/>
        <v>0</v>
      </c>
      <c r="E34" s="265">
        <v>0</v>
      </c>
      <c r="F34" s="266">
        <f>SUM('Részletes cofogos'!G59)</f>
        <v>0</v>
      </c>
    </row>
    <row r="35" spans="1:6" ht="21.95" customHeight="1" thickBot="1" x14ac:dyDescent="0.25">
      <c r="A35" s="433" t="s">
        <v>35</v>
      </c>
      <c r="B35" s="434"/>
      <c r="C35" s="51">
        <f>SUM(C26:C34)</f>
        <v>17110000</v>
      </c>
      <c r="D35" s="51">
        <f>SUM(D26:D33)</f>
        <v>9490000</v>
      </c>
      <c r="E35" s="52">
        <f>F35/C35*100</f>
        <v>155.46464056107538</v>
      </c>
      <c r="F35" s="53">
        <f>SUM(F26:F34)</f>
        <v>26600000</v>
      </c>
    </row>
    <row r="36" spans="1:6" ht="21.95" customHeight="1" x14ac:dyDescent="0.2">
      <c r="A36" s="7" t="s">
        <v>9</v>
      </c>
      <c r="B36" s="38" t="s">
        <v>26</v>
      </c>
      <c r="C36" s="197">
        <v>2653000</v>
      </c>
      <c r="D36" s="41">
        <f>F36-C36</f>
        <v>1167000</v>
      </c>
      <c r="E36" s="44">
        <f>F36/C36*100</f>
        <v>143.98793818318885</v>
      </c>
      <c r="F36" s="12">
        <f>SUM('Részletes cofogos'!G61:G62)</f>
        <v>3820000</v>
      </c>
    </row>
    <row r="37" spans="1:6" ht="21.95" customHeight="1" thickBot="1" x14ac:dyDescent="0.25">
      <c r="A37" s="3" t="s">
        <v>10</v>
      </c>
      <c r="B37" s="40" t="s">
        <v>27</v>
      </c>
      <c r="C37" s="198">
        <v>0</v>
      </c>
      <c r="D37" s="41">
        <v>0</v>
      </c>
      <c r="E37" s="44">
        <v>0</v>
      </c>
      <c r="F37" s="11">
        <f>SUM('Részletes cofogos'!G63:G64)</f>
        <v>100000</v>
      </c>
    </row>
    <row r="38" spans="1:6" ht="21.95" customHeight="1" thickBot="1" x14ac:dyDescent="0.25">
      <c r="A38" s="435" t="s">
        <v>69</v>
      </c>
      <c r="B38" s="434"/>
      <c r="C38" s="51">
        <f>SUM(C36:C37)</f>
        <v>2653000</v>
      </c>
      <c r="D38" s="51">
        <f>SUM(D36:D37)</f>
        <v>1167000</v>
      </c>
      <c r="E38" s="175">
        <f>F38/C38*100</f>
        <v>147.75725593667545</v>
      </c>
      <c r="F38" s="176">
        <f>SUM(F36:F37)</f>
        <v>3920000</v>
      </c>
    </row>
    <row r="39" spans="1:6" ht="21.95" customHeight="1" thickBot="1" x14ac:dyDescent="0.25">
      <c r="A39" s="436" t="s">
        <v>40</v>
      </c>
      <c r="B39" s="437"/>
      <c r="C39" s="174">
        <f>C35+C38</f>
        <v>19763000</v>
      </c>
      <c r="D39" s="26">
        <f t="shared" ref="D39" si="6">D35+D38</f>
        <v>10657000</v>
      </c>
      <c r="E39" s="45">
        <f>F39/C39*100</f>
        <v>154.42999544603552</v>
      </c>
      <c r="F39" s="26">
        <f>F35+F38</f>
        <v>30520000</v>
      </c>
    </row>
    <row r="40" spans="1:6" ht="21.95" customHeight="1" x14ac:dyDescent="0.2">
      <c r="A40" s="438" t="s">
        <v>107</v>
      </c>
      <c r="B40" s="439"/>
      <c r="C40" s="439"/>
      <c r="D40" s="439"/>
      <c r="E40" s="439"/>
      <c r="F40" s="440"/>
    </row>
    <row r="41" spans="1:6" ht="21.95" customHeight="1" x14ac:dyDescent="0.2">
      <c r="A41" s="441" t="s">
        <v>0</v>
      </c>
      <c r="B41" s="443" t="s">
        <v>39</v>
      </c>
      <c r="C41" s="445">
        <v>2021</v>
      </c>
      <c r="D41" s="409"/>
      <c r="E41" s="410"/>
      <c r="F41" s="16">
        <v>2022</v>
      </c>
    </row>
    <row r="42" spans="1:6" ht="21.95" customHeight="1" thickBot="1" x14ac:dyDescent="0.25">
      <c r="A42" s="442"/>
      <c r="B42" s="444"/>
      <c r="C42" s="336" t="s">
        <v>59</v>
      </c>
      <c r="D42" s="196" t="s">
        <v>117</v>
      </c>
      <c r="E42" s="336" t="s">
        <v>58</v>
      </c>
      <c r="F42" s="17" t="s">
        <v>59</v>
      </c>
    </row>
    <row r="43" spans="1:6" ht="21.95" customHeight="1" thickBot="1" x14ac:dyDescent="0.25">
      <c r="A43" s="225" t="s">
        <v>9</v>
      </c>
      <c r="B43" s="38" t="s">
        <v>26</v>
      </c>
      <c r="C43" s="226">
        <v>0</v>
      </c>
      <c r="D43" s="223">
        <f>F43-C43</f>
        <v>20000</v>
      </c>
      <c r="E43" s="224">
        <v>0</v>
      </c>
      <c r="F43" s="296">
        <f>SUM('Részletes cofogos'!G70)</f>
        <v>20000</v>
      </c>
    </row>
    <row r="44" spans="1:6" ht="21.95" customHeight="1" thickBot="1" x14ac:dyDescent="0.25">
      <c r="A44" s="435" t="s">
        <v>69</v>
      </c>
      <c r="B44" s="434"/>
      <c r="C44" s="51">
        <f>SUM(C43)</f>
        <v>0</v>
      </c>
      <c r="D44" s="51">
        <f t="shared" ref="D44" si="7">SUM(D43)</f>
        <v>20000</v>
      </c>
      <c r="E44" s="175">
        <v>0</v>
      </c>
      <c r="F44" s="176">
        <f>SUM(F43)</f>
        <v>20000</v>
      </c>
    </row>
    <row r="45" spans="1:6" ht="21.95" customHeight="1" x14ac:dyDescent="0.2">
      <c r="A45" s="61" t="s">
        <v>11</v>
      </c>
      <c r="B45" s="37" t="s">
        <v>28</v>
      </c>
      <c r="C45" s="200">
        <v>57200</v>
      </c>
      <c r="D45" s="9">
        <f t="shared" ref="D45:D58" si="8">F45-C45</f>
        <v>0</v>
      </c>
      <c r="E45" s="54">
        <f t="shared" ref="E45:E57" si="9">F45/C45*100</f>
        <v>100</v>
      </c>
      <c r="F45" s="10">
        <f>SUM('Részletes cofogos'!G72)</f>
        <v>57200</v>
      </c>
    </row>
    <row r="46" spans="1:6" ht="21.95" customHeight="1" x14ac:dyDescent="0.2">
      <c r="A46" s="2" t="s">
        <v>12</v>
      </c>
      <c r="B46" s="37" t="s">
        <v>29</v>
      </c>
      <c r="C46" s="200">
        <v>1050000</v>
      </c>
      <c r="D46" s="9">
        <f t="shared" si="8"/>
        <v>250000</v>
      </c>
      <c r="E46" s="54">
        <f t="shared" si="9"/>
        <v>123.80952380952381</v>
      </c>
      <c r="F46" s="10">
        <f>SUM('Részletes cofogos'!G75)</f>
        <v>1300000</v>
      </c>
    </row>
    <row r="47" spans="1:6" ht="21.95" customHeight="1" x14ac:dyDescent="0.2">
      <c r="A47" s="43" t="s">
        <v>70</v>
      </c>
      <c r="B47" s="37" t="s">
        <v>71</v>
      </c>
      <c r="C47" s="200">
        <v>96000</v>
      </c>
      <c r="D47" s="9">
        <f t="shared" si="8"/>
        <v>0</v>
      </c>
      <c r="E47" s="54">
        <f t="shared" si="9"/>
        <v>100</v>
      </c>
      <c r="F47" s="10">
        <f>SUM('Részletes cofogos'!G82)</f>
        <v>96000</v>
      </c>
    </row>
    <row r="48" spans="1:6" ht="21.95" customHeight="1" x14ac:dyDescent="0.2">
      <c r="A48" s="25" t="s">
        <v>13</v>
      </c>
      <c r="B48" s="58" t="s">
        <v>72</v>
      </c>
      <c r="C48" s="56">
        <v>60000</v>
      </c>
      <c r="D48" s="9">
        <f t="shared" si="8"/>
        <v>6000</v>
      </c>
      <c r="E48" s="54">
        <f t="shared" si="9"/>
        <v>110.00000000000001</v>
      </c>
      <c r="F48" s="10">
        <f>SUM('Részletes cofogos'!G84)</f>
        <v>66000</v>
      </c>
    </row>
    <row r="49" spans="1:7" ht="21.95" customHeight="1" x14ac:dyDescent="0.2">
      <c r="A49" s="43" t="s">
        <v>78</v>
      </c>
      <c r="B49" s="55" t="s">
        <v>123</v>
      </c>
      <c r="C49" s="56">
        <v>2050000</v>
      </c>
      <c r="D49" s="9">
        <f t="shared" si="8"/>
        <v>450000</v>
      </c>
      <c r="E49" s="54">
        <f t="shared" si="9"/>
        <v>121.95121951219512</v>
      </c>
      <c r="F49" s="10">
        <f>SUM('Részletes cofogos'!G86)</f>
        <v>2500000</v>
      </c>
    </row>
    <row r="50" spans="1:7" ht="21.95" customHeight="1" x14ac:dyDescent="0.2">
      <c r="A50" s="227" t="s">
        <v>82</v>
      </c>
      <c r="B50" s="228" t="s">
        <v>79</v>
      </c>
      <c r="C50" s="229">
        <v>150000</v>
      </c>
      <c r="D50" s="229">
        <f t="shared" si="8"/>
        <v>250000</v>
      </c>
      <c r="E50" s="230">
        <f t="shared" si="9"/>
        <v>266.66666666666663</v>
      </c>
      <c r="F50" s="229">
        <f>SUM('Részletes cofogos'!G87)</f>
        <v>400000</v>
      </c>
    </row>
    <row r="51" spans="1:7" ht="21.95" customHeight="1" x14ac:dyDescent="0.2">
      <c r="A51" s="231" t="s">
        <v>81</v>
      </c>
      <c r="B51" s="228" t="s">
        <v>80</v>
      </c>
      <c r="C51" s="229">
        <v>2000000</v>
      </c>
      <c r="D51" s="229">
        <f t="shared" si="8"/>
        <v>-400000</v>
      </c>
      <c r="E51" s="230">
        <f t="shared" si="9"/>
        <v>80</v>
      </c>
      <c r="F51" s="229">
        <f>SUM('Részletes cofogos'!G88)</f>
        <v>1600000</v>
      </c>
    </row>
    <row r="52" spans="1:7" ht="21.95" customHeight="1" x14ac:dyDescent="0.2">
      <c r="A52" s="232" t="s">
        <v>83</v>
      </c>
      <c r="B52" s="228" t="s">
        <v>84</v>
      </c>
      <c r="C52" s="229">
        <v>500000</v>
      </c>
      <c r="D52" s="229">
        <f t="shared" si="8"/>
        <v>0</v>
      </c>
      <c r="E52" s="230">
        <f t="shared" si="9"/>
        <v>100</v>
      </c>
      <c r="F52" s="229">
        <f>SUM('Részletes cofogos'!G89)</f>
        <v>500000</v>
      </c>
    </row>
    <row r="53" spans="1:7" ht="21.95" customHeight="1" x14ac:dyDescent="0.2">
      <c r="A53" s="43" t="s">
        <v>76</v>
      </c>
      <c r="B53" s="55" t="s">
        <v>77</v>
      </c>
      <c r="C53" s="56">
        <v>2500000</v>
      </c>
      <c r="D53" s="9">
        <f t="shared" si="8"/>
        <v>500000</v>
      </c>
      <c r="E53" s="54">
        <f t="shared" si="9"/>
        <v>120</v>
      </c>
      <c r="F53" s="10">
        <f>SUM('Részletes cofogos'!G90)</f>
        <v>3000000</v>
      </c>
    </row>
    <row r="54" spans="1:7" ht="21.95" customHeight="1" x14ac:dyDescent="0.2">
      <c r="A54" s="43" t="s">
        <v>108</v>
      </c>
      <c r="B54" s="171" t="s">
        <v>109</v>
      </c>
      <c r="C54" s="201">
        <v>525500</v>
      </c>
      <c r="D54" s="9">
        <f t="shared" si="8"/>
        <v>2648300</v>
      </c>
      <c r="E54" s="54">
        <f t="shared" si="9"/>
        <v>603.95813510941957</v>
      </c>
      <c r="F54" s="10">
        <f>SUM('Részletes cofogos'!G92)</f>
        <v>3173800</v>
      </c>
    </row>
    <row r="55" spans="1:7" ht="21.95" customHeight="1" x14ac:dyDescent="0.2">
      <c r="A55" s="2" t="s">
        <v>14</v>
      </c>
      <c r="B55" s="37" t="s">
        <v>30</v>
      </c>
      <c r="C55" s="200">
        <v>500000</v>
      </c>
      <c r="D55" s="9">
        <f t="shared" si="8"/>
        <v>0</v>
      </c>
      <c r="E55" s="54">
        <f t="shared" si="9"/>
        <v>100</v>
      </c>
      <c r="F55" s="10">
        <f>SUM('Részletes cofogos'!G97)</f>
        <v>500000</v>
      </c>
    </row>
    <row r="56" spans="1:7" ht="21.95" customHeight="1" x14ac:dyDescent="0.2">
      <c r="A56" s="7" t="s">
        <v>15</v>
      </c>
      <c r="B56" s="55" t="s">
        <v>31</v>
      </c>
      <c r="C56" s="56">
        <v>100000</v>
      </c>
      <c r="D56" s="9">
        <f t="shared" si="8"/>
        <v>0</v>
      </c>
      <c r="E56" s="54">
        <f t="shared" si="9"/>
        <v>100</v>
      </c>
      <c r="F56" s="10">
        <f>SUM('Részletes cofogos'!G101)</f>
        <v>100000</v>
      </c>
    </row>
    <row r="57" spans="1:7" ht="21.95" customHeight="1" x14ac:dyDescent="0.2">
      <c r="A57" s="2" t="s">
        <v>16</v>
      </c>
      <c r="B57" s="55" t="s">
        <v>32</v>
      </c>
      <c r="C57" s="56">
        <v>1686260</v>
      </c>
      <c r="D57" s="9">
        <f t="shared" si="8"/>
        <v>513740</v>
      </c>
      <c r="E57" s="54">
        <f t="shared" si="9"/>
        <v>130.466238895544</v>
      </c>
      <c r="F57" s="10">
        <f>SUM('Részletes cofogos'!G103)</f>
        <v>2200000</v>
      </c>
      <c r="G57" s="180"/>
    </row>
    <row r="58" spans="1:7" ht="21.75" customHeight="1" thickBot="1" x14ac:dyDescent="0.25">
      <c r="A58" s="3" t="s">
        <v>17</v>
      </c>
      <c r="B58" s="58" t="s">
        <v>61</v>
      </c>
      <c r="C58" s="59">
        <v>5000</v>
      </c>
      <c r="D58" s="9">
        <f t="shared" si="8"/>
        <v>0</v>
      </c>
      <c r="E58" s="54">
        <v>0</v>
      </c>
      <c r="F58" s="10">
        <f>SUM('Részletes cofogos'!G104)</f>
        <v>5000</v>
      </c>
    </row>
    <row r="59" spans="1:7" ht="21.75" customHeight="1" thickBot="1" x14ac:dyDescent="0.25">
      <c r="A59" s="435" t="s">
        <v>37</v>
      </c>
      <c r="B59" s="454"/>
      <c r="C59" s="60">
        <f>SUM(C45:C49,C53:C58)</f>
        <v>8629960</v>
      </c>
      <c r="D59" s="60">
        <f t="shared" ref="D59" si="10">SUM(D45:D49,D53:D58)</f>
        <v>4368040</v>
      </c>
      <c r="E59" s="52">
        <f>SUM(F59/C59*100)</f>
        <v>150.61483483121589</v>
      </c>
      <c r="F59" s="53">
        <f>SUM(F45:F49,F53:F58)</f>
        <v>12998000</v>
      </c>
    </row>
    <row r="60" spans="1:7" ht="21.75" customHeight="1" thickBot="1" x14ac:dyDescent="0.25">
      <c r="A60" s="208" t="s">
        <v>137</v>
      </c>
      <c r="B60" s="261" t="s">
        <v>138</v>
      </c>
      <c r="C60" s="259">
        <v>0</v>
      </c>
      <c r="D60" s="260">
        <v>0</v>
      </c>
      <c r="E60" s="50">
        <v>0</v>
      </c>
      <c r="F60" s="80">
        <f>SUM('Részletes cofogos'!G106)</f>
        <v>0</v>
      </c>
    </row>
    <row r="61" spans="1:7" ht="21.95" customHeight="1" thickBot="1" x14ac:dyDescent="0.25">
      <c r="A61" s="435" t="s">
        <v>136</v>
      </c>
      <c r="B61" s="454"/>
      <c r="C61" s="60">
        <f>SUM(C60)</f>
        <v>0</v>
      </c>
      <c r="D61" s="60">
        <f t="shared" ref="D61" si="11">SUM(D60)</f>
        <v>0</v>
      </c>
      <c r="E61" s="52">
        <v>0</v>
      </c>
      <c r="F61" s="53">
        <f>SUM(F60)</f>
        <v>0</v>
      </c>
    </row>
    <row r="62" spans="1:7" ht="21.95" customHeight="1" x14ac:dyDescent="0.2">
      <c r="A62" s="66" t="s">
        <v>85</v>
      </c>
      <c r="B62" s="68" t="s">
        <v>86</v>
      </c>
      <c r="C62" s="68">
        <v>465000</v>
      </c>
      <c r="D62" s="332">
        <f>F62-C62</f>
        <v>-165000</v>
      </c>
      <c r="E62" s="177">
        <f>SUM(F62/C62*100)</f>
        <v>64.516129032258064</v>
      </c>
      <c r="F62" s="178">
        <f>SUM('Részletes cofogos'!G108)</f>
        <v>300000</v>
      </c>
    </row>
    <row r="63" spans="1:7" ht="21.95" customHeight="1" thickBot="1" x14ac:dyDescent="0.25">
      <c r="A63" s="69" t="s">
        <v>87</v>
      </c>
      <c r="B63" s="55" t="s">
        <v>89</v>
      </c>
      <c r="C63" s="55">
        <v>125550</v>
      </c>
      <c r="D63" s="333">
        <f>F63-C63</f>
        <v>-44550</v>
      </c>
      <c r="E63" s="202">
        <f>SUM(F63/C63*100)</f>
        <v>64.516129032258064</v>
      </c>
      <c r="F63" s="42">
        <f>SUM('Részletes cofogos'!G110)</f>
        <v>81000</v>
      </c>
    </row>
    <row r="64" spans="1:7" ht="21.95" customHeight="1" thickBot="1" x14ac:dyDescent="0.25">
      <c r="A64" s="435" t="s">
        <v>88</v>
      </c>
      <c r="B64" s="454"/>
      <c r="C64" s="60">
        <f>SUM(C62:C63)</f>
        <v>590550</v>
      </c>
      <c r="D64" s="60">
        <f>SUM(D62:D63)</f>
        <v>-209550</v>
      </c>
      <c r="E64" s="175">
        <f>SUM(F64/C64*100)</f>
        <v>64.516129032258064</v>
      </c>
      <c r="F64" s="176">
        <f>SUM(F62:F63)</f>
        <v>381000</v>
      </c>
    </row>
    <row r="65" spans="1:7" ht="21.95" customHeight="1" thickBot="1" x14ac:dyDescent="0.25">
      <c r="A65" s="452" t="s">
        <v>40</v>
      </c>
      <c r="B65" s="453"/>
      <c r="C65" s="62">
        <f>SUM(C59+C61+C64)</f>
        <v>9220510</v>
      </c>
      <c r="D65" s="62">
        <f>D61+D64+D59</f>
        <v>4158490</v>
      </c>
      <c r="E65" s="67">
        <f>SUM(F65/C65*100)</f>
        <v>145.31734144857498</v>
      </c>
      <c r="F65" s="62">
        <f>SUM(F59,F61,F64,F44)</f>
        <v>13399000</v>
      </c>
      <c r="G65" s="46"/>
    </row>
    <row r="66" spans="1:7" ht="21.95" customHeight="1" x14ac:dyDescent="0.2">
      <c r="A66" s="438" t="s">
        <v>110</v>
      </c>
      <c r="B66" s="439"/>
      <c r="C66" s="439"/>
      <c r="D66" s="439"/>
      <c r="E66" s="439"/>
      <c r="F66" s="440"/>
    </row>
    <row r="67" spans="1:7" ht="21.95" customHeight="1" x14ac:dyDescent="0.2">
      <c r="A67" s="441" t="s">
        <v>0</v>
      </c>
      <c r="B67" s="443" t="s">
        <v>39</v>
      </c>
      <c r="C67" s="445">
        <v>2021</v>
      </c>
      <c r="D67" s="409"/>
      <c r="E67" s="410"/>
      <c r="F67" s="16">
        <v>2022</v>
      </c>
    </row>
    <row r="68" spans="1:7" ht="21.95" customHeight="1" thickBot="1" x14ac:dyDescent="0.25">
      <c r="A68" s="442"/>
      <c r="B68" s="444"/>
      <c r="C68" s="336" t="s">
        <v>59</v>
      </c>
      <c r="D68" s="196" t="s">
        <v>117</v>
      </c>
      <c r="E68" s="336" t="s">
        <v>58</v>
      </c>
      <c r="F68" s="17" t="s">
        <v>59</v>
      </c>
    </row>
    <row r="69" spans="1:7" ht="21.95" customHeight="1" x14ac:dyDescent="0.2">
      <c r="A69" s="7" t="s">
        <v>4</v>
      </c>
      <c r="B69" s="38" t="s">
        <v>21</v>
      </c>
      <c r="C69" s="263">
        <v>2800000</v>
      </c>
      <c r="D69" s="41">
        <f t="shared" ref="D69:D74" si="12">F69-C69</f>
        <v>600000</v>
      </c>
      <c r="E69" s="44">
        <f>F69/C69*100</f>
        <v>121.42857142857142</v>
      </c>
      <c r="F69" s="42">
        <f>SUM('Részletes cofogos'!G116)</f>
        <v>3400000</v>
      </c>
    </row>
    <row r="70" spans="1:7" ht="21.95" customHeight="1" x14ac:dyDescent="0.2">
      <c r="A70" s="24" t="s">
        <v>115</v>
      </c>
      <c r="B70" s="38" t="s">
        <v>114</v>
      </c>
      <c r="C70" s="338">
        <v>60000</v>
      </c>
      <c r="D70" s="41">
        <f t="shared" si="12"/>
        <v>-60000</v>
      </c>
      <c r="E70" s="44">
        <f>F70/C70*100</f>
        <v>0</v>
      </c>
      <c r="F70" s="42">
        <f>SUM('Részletes cofogos'!G119)</f>
        <v>0</v>
      </c>
    </row>
    <row r="71" spans="1:7" ht="21.95" customHeight="1" x14ac:dyDescent="0.2">
      <c r="A71" s="43" t="s">
        <v>67</v>
      </c>
      <c r="B71" s="39" t="s">
        <v>68</v>
      </c>
      <c r="C71" s="9">
        <v>54000</v>
      </c>
      <c r="D71" s="41">
        <f t="shared" si="12"/>
        <v>6000</v>
      </c>
      <c r="E71" s="44">
        <v>0</v>
      </c>
      <c r="F71" s="42">
        <f>SUM('Részletes cofogos'!G120)</f>
        <v>60000</v>
      </c>
    </row>
    <row r="72" spans="1:7" ht="21.95" customHeight="1" x14ac:dyDescent="0.2">
      <c r="A72" s="2" t="s">
        <v>6</v>
      </c>
      <c r="B72" s="39" t="s">
        <v>23</v>
      </c>
      <c r="C72" s="9">
        <v>12000</v>
      </c>
      <c r="D72" s="41">
        <f t="shared" si="12"/>
        <v>0</v>
      </c>
      <c r="E72" s="44">
        <f>F72/C72*100</f>
        <v>100</v>
      </c>
      <c r="F72" s="42">
        <f>SUM('Részletes cofogos'!G121)</f>
        <v>12000</v>
      </c>
    </row>
    <row r="73" spans="1:7" ht="21.95" customHeight="1" x14ac:dyDescent="0.2">
      <c r="A73" s="2" t="s">
        <v>7</v>
      </c>
      <c r="B73" s="39" t="s">
        <v>24</v>
      </c>
      <c r="C73" s="9">
        <v>148000</v>
      </c>
      <c r="D73" s="41">
        <f t="shared" si="12"/>
        <v>52000</v>
      </c>
      <c r="E73" s="44">
        <f>F73/C73*100</f>
        <v>135.13513513513513</v>
      </c>
      <c r="F73" s="10">
        <f>SUM('Részletes cofogos'!G123)</f>
        <v>200000</v>
      </c>
    </row>
    <row r="74" spans="1:7" ht="21.95" customHeight="1" thickBot="1" x14ac:dyDescent="0.25">
      <c r="A74" s="27" t="s">
        <v>8</v>
      </c>
      <c r="B74" s="48" t="s">
        <v>25</v>
      </c>
      <c r="C74" s="350">
        <v>0</v>
      </c>
      <c r="D74" s="41">
        <f t="shared" si="12"/>
        <v>0</v>
      </c>
      <c r="E74" s="44">
        <v>0</v>
      </c>
      <c r="F74" s="11">
        <f>SUM('Részletes cofogos'!G126)</f>
        <v>0</v>
      </c>
    </row>
    <row r="75" spans="1:7" ht="21.95" customHeight="1" thickBot="1" x14ac:dyDescent="0.25">
      <c r="A75" s="433" t="s">
        <v>35</v>
      </c>
      <c r="B75" s="434"/>
      <c r="C75" s="51">
        <f>SUM(C69:C74)</f>
        <v>3074000</v>
      </c>
      <c r="D75" s="51">
        <f>SUM(D69:D74)</f>
        <v>598000</v>
      </c>
      <c r="E75" s="52">
        <f>F75/C75*100</f>
        <v>119.45348080676644</v>
      </c>
      <c r="F75" s="53">
        <f>SUM(F69:F74)</f>
        <v>3672000</v>
      </c>
    </row>
    <row r="76" spans="1:7" ht="21.95" customHeight="1" x14ac:dyDescent="0.2">
      <c r="A76" s="7" t="s">
        <v>9</v>
      </c>
      <c r="B76" s="38" t="s">
        <v>26</v>
      </c>
      <c r="C76" s="263">
        <v>480000</v>
      </c>
      <c r="D76" s="49">
        <f>F76-C76</f>
        <v>20000</v>
      </c>
      <c r="E76" s="44">
        <f>F76/C76*100</f>
        <v>104.16666666666667</v>
      </c>
      <c r="F76" s="12">
        <f>SUM('Részletes cofogos'!G128:G129)</f>
        <v>500000</v>
      </c>
    </row>
    <row r="77" spans="1:7" ht="21.95" customHeight="1" thickBot="1" x14ac:dyDescent="0.25">
      <c r="A77" s="3" t="s">
        <v>10</v>
      </c>
      <c r="B77" s="40" t="s">
        <v>27</v>
      </c>
      <c r="C77" s="233">
        <v>0</v>
      </c>
      <c r="D77" s="351">
        <f>F77-C77</f>
        <v>10000</v>
      </c>
      <c r="E77" s="44">
        <v>0</v>
      </c>
      <c r="F77" s="12">
        <f>SUM('Részletes cofogos'!G130:G131)</f>
        <v>10000</v>
      </c>
    </row>
    <row r="78" spans="1:7" ht="21.95" customHeight="1" thickBot="1" x14ac:dyDescent="0.25">
      <c r="A78" s="435" t="s">
        <v>69</v>
      </c>
      <c r="B78" s="434"/>
      <c r="C78" s="51">
        <f>SUM(C76:C77)</f>
        <v>480000</v>
      </c>
      <c r="D78" s="51">
        <f>SUM(D76:D77)</f>
        <v>30000</v>
      </c>
      <c r="E78" s="175">
        <f>F78/C78*100</f>
        <v>106.25</v>
      </c>
      <c r="F78" s="176">
        <f>SUM(F76:F77)</f>
        <v>510000</v>
      </c>
    </row>
    <row r="79" spans="1:7" ht="21.95" customHeight="1" thickBot="1" x14ac:dyDescent="0.25">
      <c r="A79" s="436" t="s">
        <v>40</v>
      </c>
      <c r="B79" s="437"/>
      <c r="C79" s="174">
        <f>C75+C78</f>
        <v>3554000</v>
      </c>
      <c r="D79" s="26">
        <f t="shared" ref="D79" si="13">D75+D78</f>
        <v>628000</v>
      </c>
      <c r="E79" s="45">
        <f>F79/C79*100</f>
        <v>117.6702307259426</v>
      </c>
      <c r="F79" s="26">
        <f t="shared" ref="F79" si="14">F75+F78</f>
        <v>4182000</v>
      </c>
    </row>
    <row r="80" spans="1:7" ht="21.95" customHeight="1" x14ac:dyDescent="0.2">
      <c r="A80" s="438" t="s">
        <v>112</v>
      </c>
      <c r="B80" s="439"/>
      <c r="C80" s="439"/>
      <c r="D80" s="439"/>
      <c r="E80" s="439"/>
      <c r="F80" s="440"/>
    </row>
    <row r="81" spans="1:10" ht="21.95" customHeight="1" x14ac:dyDescent="0.2">
      <c r="A81" s="441" t="s">
        <v>0</v>
      </c>
      <c r="B81" s="443" t="s">
        <v>39</v>
      </c>
      <c r="C81" s="445">
        <v>2021</v>
      </c>
      <c r="D81" s="409"/>
      <c r="E81" s="410"/>
      <c r="F81" s="16">
        <v>2022</v>
      </c>
    </row>
    <row r="82" spans="1:10" ht="21.95" customHeight="1" thickBot="1" x14ac:dyDescent="0.25">
      <c r="A82" s="442"/>
      <c r="B82" s="444"/>
      <c r="C82" s="336" t="s">
        <v>59</v>
      </c>
      <c r="D82" s="196" t="s">
        <v>117</v>
      </c>
      <c r="E82" s="336" t="s">
        <v>58</v>
      </c>
      <c r="F82" s="17" t="s">
        <v>59</v>
      </c>
      <c r="H82" s="432" t="s">
        <v>139</v>
      </c>
      <c r="I82" s="432"/>
      <c r="J82" s="262">
        <v>13023000</v>
      </c>
    </row>
    <row r="83" spans="1:10" ht="21.95" customHeight="1" x14ac:dyDescent="0.2">
      <c r="A83" s="7" t="s">
        <v>4</v>
      </c>
      <c r="B83" s="38" t="s">
        <v>21</v>
      </c>
      <c r="C83" s="352">
        <v>10890000</v>
      </c>
      <c r="D83" s="41">
        <f t="shared" ref="D83:D89" si="15">F83-C83</f>
        <v>3110000</v>
      </c>
      <c r="E83" s="44">
        <f>F83/C83*100</f>
        <v>128.55831037649219</v>
      </c>
      <c r="F83" s="42">
        <f>SUM('Részletes cofogos'!G137)</f>
        <v>14000000</v>
      </c>
    </row>
    <row r="84" spans="1:10" ht="21.95" customHeight="1" x14ac:dyDescent="0.2">
      <c r="A84" s="24" t="s">
        <v>115</v>
      </c>
      <c r="B84" s="38" t="s">
        <v>114</v>
      </c>
      <c r="C84" s="353">
        <v>260000</v>
      </c>
      <c r="D84" s="41">
        <f t="shared" si="15"/>
        <v>-260000</v>
      </c>
      <c r="E84" s="44">
        <f>F84/C84*100</f>
        <v>0</v>
      </c>
      <c r="F84" s="42">
        <f>SUM('Részletes cofogos'!G144)</f>
        <v>0</v>
      </c>
    </row>
    <row r="85" spans="1:10" ht="21.95" customHeight="1" x14ac:dyDescent="0.2">
      <c r="A85" s="24" t="s">
        <v>179</v>
      </c>
      <c r="B85" s="38" t="s">
        <v>180</v>
      </c>
      <c r="C85" s="353">
        <v>0</v>
      </c>
      <c r="D85" s="41">
        <f t="shared" si="15"/>
        <v>400000</v>
      </c>
      <c r="E85" s="44">
        <v>0</v>
      </c>
      <c r="F85" s="42">
        <f>SUM('Részletes cofogos'!G145)</f>
        <v>400000</v>
      </c>
    </row>
    <row r="86" spans="1:10" ht="21.95" customHeight="1" x14ac:dyDescent="0.2">
      <c r="A86" s="43" t="s">
        <v>67</v>
      </c>
      <c r="B86" s="39" t="s">
        <v>68</v>
      </c>
      <c r="C86" s="354">
        <v>224000</v>
      </c>
      <c r="D86" s="41">
        <f t="shared" si="15"/>
        <v>-4000</v>
      </c>
      <c r="E86" s="44">
        <f>F86/C86*100</f>
        <v>98.214285714285708</v>
      </c>
      <c r="F86" s="42">
        <f>SUM('Részletes cofogos'!G146)</f>
        <v>220000</v>
      </c>
    </row>
    <row r="87" spans="1:10" ht="21.95" customHeight="1" x14ac:dyDescent="0.2">
      <c r="A87" s="2" t="s">
        <v>6</v>
      </c>
      <c r="B87" s="39" t="s">
        <v>23</v>
      </c>
      <c r="C87" s="354">
        <v>36000</v>
      </c>
      <c r="D87" s="41">
        <f t="shared" si="15"/>
        <v>0</v>
      </c>
      <c r="E87" s="44">
        <f>F87/C87*100</f>
        <v>100</v>
      </c>
      <c r="F87" s="42">
        <f>SUM('Részletes cofogos'!G147)</f>
        <v>36000</v>
      </c>
      <c r="H87" s="46" t="s">
        <v>119</v>
      </c>
    </row>
    <row r="88" spans="1:10" ht="21.95" customHeight="1" x14ac:dyDescent="0.2">
      <c r="A88" s="2" t="s">
        <v>7</v>
      </c>
      <c r="B88" s="39" t="s">
        <v>24</v>
      </c>
      <c r="C88" s="354">
        <v>694000</v>
      </c>
      <c r="D88" s="41">
        <f t="shared" si="15"/>
        <v>-50000</v>
      </c>
      <c r="E88" s="44">
        <f>F88/C88*100</f>
        <v>92.795389048991353</v>
      </c>
      <c r="F88" s="10">
        <f>SUM('Részletes cofogos'!G149)</f>
        <v>644000</v>
      </c>
      <c r="H88" s="46" t="s">
        <v>118</v>
      </c>
    </row>
    <row r="89" spans="1:10" ht="21.95" customHeight="1" thickBot="1" x14ac:dyDescent="0.25">
      <c r="A89" s="27" t="s">
        <v>8</v>
      </c>
      <c r="B89" s="48" t="s">
        <v>25</v>
      </c>
      <c r="C89" s="350">
        <v>0</v>
      </c>
      <c r="D89" s="41">
        <f t="shared" si="15"/>
        <v>0</v>
      </c>
      <c r="E89" s="44">
        <v>0</v>
      </c>
      <c r="F89" s="11">
        <f>SUM('Részletes cofogos'!G152)</f>
        <v>0</v>
      </c>
    </row>
    <row r="90" spans="1:10" ht="21.95" customHeight="1" thickBot="1" x14ac:dyDescent="0.25">
      <c r="A90" s="433" t="s">
        <v>35</v>
      </c>
      <c r="B90" s="434"/>
      <c r="C90" s="51">
        <f>SUM(C83:C89)</f>
        <v>12104000</v>
      </c>
      <c r="D90" s="51">
        <f>SUM(D83:D89)</f>
        <v>3196000</v>
      </c>
      <c r="E90" s="52">
        <f>F90/C90*100</f>
        <v>126.40449438202248</v>
      </c>
      <c r="F90" s="53">
        <f>SUM(F83:F89)</f>
        <v>15300000</v>
      </c>
    </row>
    <row r="91" spans="1:10" ht="21.95" customHeight="1" x14ac:dyDescent="0.2">
      <c r="A91" s="7" t="s">
        <v>9</v>
      </c>
      <c r="B91" s="38" t="s">
        <v>26</v>
      </c>
      <c r="C91" s="263">
        <v>1880000</v>
      </c>
      <c r="D91" s="41">
        <f>F91-C91</f>
        <v>250000</v>
      </c>
      <c r="E91" s="44">
        <f>F91/C91*100</f>
        <v>113.29787234042554</v>
      </c>
      <c r="F91" s="12">
        <f>SUM('Részletes cofogos'!G154:G155)</f>
        <v>2130000</v>
      </c>
    </row>
    <row r="92" spans="1:10" ht="21.95" customHeight="1" thickBot="1" x14ac:dyDescent="0.25">
      <c r="A92" s="3" t="s">
        <v>10</v>
      </c>
      <c r="B92" s="40" t="s">
        <v>27</v>
      </c>
      <c r="C92" s="233">
        <v>0</v>
      </c>
      <c r="D92" s="49">
        <v>0</v>
      </c>
      <c r="E92" s="50"/>
      <c r="F92" s="12">
        <f>SUM('Részletes cofogos'!G156:G157)</f>
        <v>100000</v>
      </c>
    </row>
    <row r="93" spans="1:10" ht="21.95" customHeight="1" thickBot="1" x14ac:dyDescent="0.25">
      <c r="A93" s="435" t="s">
        <v>69</v>
      </c>
      <c r="B93" s="434"/>
      <c r="C93" s="51">
        <f>SUM(C91:C92)</f>
        <v>1880000</v>
      </c>
      <c r="D93" s="51">
        <f>SUM(D91:D92)</f>
        <v>250000</v>
      </c>
      <c r="E93" s="52">
        <f>SUM(F93/C93*100)</f>
        <v>118.61702127659575</v>
      </c>
      <c r="F93" s="53">
        <f>SUM(F91:F92)</f>
        <v>2230000</v>
      </c>
    </row>
    <row r="94" spans="1:10" ht="21.95" customHeight="1" thickBot="1" x14ac:dyDescent="0.25">
      <c r="A94" s="436" t="s">
        <v>40</v>
      </c>
      <c r="B94" s="437"/>
      <c r="C94" s="174">
        <f>C90+C93</f>
        <v>13984000</v>
      </c>
      <c r="D94" s="26">
        <f t="shared" ref="D94" si="16">D90+D93</f>
        <v>3446000</v>
      </c>
      <c r="E94" s="45">
        <f>SUM(F94/C94*100)</f>
        <v>125.35755148741418</v>
      </c>
      <c r="F94" s="26">
        <f t="shared" ref="F94" si="17">F90+F93</f>
        <v>17530000</v>
      </c>
    </row>
    <row r="95" spans="1:10" ht="21.95" customHeight="1" thickBot="1" x14ac:dyDescent="0.25">
      <c r="A95" s="21"/>
      <c r="B95" s="14"/>
      <c r="C95" s="14"/>
      <c r="D95" s="22"/>
      <c r="E95" s="22"/>
      <c r="F95" s="23"/>
    </row>
    <row r="96" spans="1:10" ht="21.95" customHeight="1" thickBot="1" x14ac:dyDescent="0.25">
      <c r="A96" s="18" t="s">
        <v>50</v>
      </c>
      <c r="B96" s="19"/>
      <c r="C96" s="20">
        <f>C22+C39+C65+C79+C94</f>
        <v>72680510</v>
      </c>
      <c r="D96" s="20">
        <f>D22+D39+D65+D79+D94</f>
        <v>15321490</v>
      </c>
      <c r="E96" s="70">
        <f>SUM(F96/C96*100)</f>
        <v>121.38329794328631</v>
      </c>
      <c r="F96" s="20">
        <f>F22+F39+F65+F79+F94</f>
        <v>88222000</v>
      </c>
    </row>
    <row r="100" spans="6:6" x14ac:dyDescent="0.2">
      <c r="F100" s="47"/>
    </row>
  </sheetData>
  <autoFilter ref="A1:A96" xr:uid="{00000000-0009-0000-0000-000004000000}"/>
  <mergeCells count="43">
    <mergeCell ref="A65:B65"/>
    <mergeCell ref="A64:B64"/>
    <mergeCell ref="B41:B42"/>
    <mergeCell ref="A61:B61"/>
    <mergeCell ref="C41:E41"/>
    <mergeCell ref="A44:B44"/>
    <mergeCell ref="A59:B59"/>
    <mergeCell ref="D1:F1"/>
    <mergeCell ref="A2:F2"/>
    <mergeCell ref="A3:F3"/>
    <mergeCell ref="A5:F5"/>
    <mergeCell ref="B7:B8"/>
    <mergeCell ref="A6:F6"/>
    <mergeCell ref="A7:A8"/>
    <mergeCell ref="C7:E7"/>
    <mergeCell ref="A39:B39"/>
    <mergeCell ref="A40:F40"/>
    <mergeCell ref="A41:A42"/>
    <mergeCell ref="A18:B18"/>
    <mergeCell ref="A21:B21"/>
    <mergeCell ref="A38:B38"/>
    <mergeCell ref="A35:B35"/>
    <mergeCell ref="A22:B22"/>
    <mergeCell ref="A24:A25"/>
    <mergeCell ref="B24:B25"/>
    <mergeCell ref="A23:F23"/>
    <mergeCell ref="C24:E24"/>
    <mergeCell ref="H82:I82"/>
    <mergeCell ref="H6:I6"/>
    <mergeCell ref="A90:B90"/>
    <mergeCell ref="A93:B93"/>
    <mergeCell ref="A94:B94"/>
    <mergeCell ref="A78:B78"/>
    <mergeCell ref="A79:B79"/>
    <mergeCell ref="A80:F80"/>
    <mergeCell ref="A81:A82"/>
    <mergeCell ref="B81:B82"/>
    <mergeCell ref="C81:E81"/>
    <mergeCell ref="A66:F66"/>
    <mergeCell ref="A67:A68"/>
    <mergeCell ref="B67:B68"/>
    <mergeCell ref="A75:B75"/>
    <mergeCell ref="C67:E67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>
    <oddHeader>&amp;LPiliscsévi "Aranykapu" Egységes Óvoda-Bölcsőde&amp;RIV/3.a) számú melléklet</oddHeader>
    <oddFooter>&amp;LKészítette: FNZS&amp;C&amp;P/&amp;N&amp;R2020.01.hó</oddFooter>
  </headerFooter>
  <rowBreaks count="2" manualBreakCount="2">
    <brk id="39" max="5" man="1"/>
    <brk id="79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63"/>
  <sheetViews>
    <sheetView topLeftCell="A148" zoomScaleNormal="100" workbookViewId="0">
      <selection activeCell="J117" sqref="J117"/>
    </sheetView>
  </sheetViews>
  <sheetFormatPr defaultRowHeight="12.75" x14ac:dyDescent="0.2"/>
  <cols>
    <col min="1" max="1" width="12.5703125" customWidth="1"/>
    <col min="2" max="2" width="14.5703125" bestFit="1" customWidth="1"/>
    <col min="3" max="4" width="10.140625" bestFit="1" customWidth="1"/>
    <col min="5" max="5" width="12.28515625" customWidth="1"/>
    <col min="6" max="6" width="7.28515625" customWidth="1"/>
    <col min="7" max="7" width="10.7109375" bestFit="1" customWidth="1"/>
    <col min="8" max="8" width="10.140625" bestFit="1" customWidth="1"/>
  </cols>
  <sheetData>
    <row r="1" spans="1:8" ht="13.5" thickBot="1" x14ac:dyDescent="0.25">
      <c r="A1" s="451" t="s">
        <v>41</v>
      </c>
      <c r="B1" s="451"/>
      <c r="C1" s="451"/>
      <c r="D1" s="451"/>
      <c r="E1" s="451"/>
      <c r="F1" s="451"/>
      <c r="G1" s="451"/>
    </row>
    <row r="2" spans="1:8" x14ac:dyDescent="0.2">
      <c r="A2" s="438" t="s">
        <v>103</v>
      </c>
      <c r="B2" s="439"/>
      <c r="C2" s="439"/>
      <c r="D2" s="439"/>
      <c r="E2" s="439"/>
      <c r="F2" s="439"/>
      <c r="G2" s="440"/>
    </row>
    <row r="3" spans="1:8" x14ac:dyDescent="0.2">
      <c r="A3" s="441" t="s">
        <v>0</v>
      </c>
      <c r="B3" s="443" t="s">
        <v>39</v>
      </c>
      <c r="C3" s="491"/>
      <c r="D3" s="492"/>
      <c r="E3" s="492"/>
      <c r="F3" s="493"/>
      <c r="G3" s="16">
        <v>2022</v>
      </c>
    </row>
    <row r="4" spans="1:8" ht="13.5" thickBot="1" x14ac:dyDescent="0.25">
      <c r="A4" s="442"/>
      <c r="B4" s="444"/>
      <c r="C4" s="494"/>
      <c r="D4" s="495"/>
      <c r="E4" s="495"/>
      <c r="F4" s="496"/>
      <c r="G4" s="17" t="s">
        <v>59</v>
      </c>
    </row>
    <row r="5" spans="1:8" x14ac:dyDescent="0.2">
      <c r="A5" s="269" t="s">
        <v>4</v>
      </c>
      <c r="B5" s="485" t="s">
        <v>21</v>
      </c>
      <c r="C5" s="486"/>
      <c r="D5" s="487"/>
      <c r="E5" s="270"/>
      <c r="F5" s="271"/>
      <c r="G5" s="272">
        <v>17350000</v>
      </c>
      <c r="H5" s="47">
        <f>SUM(G6:G15)</f>
        <v>17269268</v>
      </c>
    </row>
    <row r="6" spans="1:8" x14ac:dyDescent="0.2">
      <c r="A6" s="7"/>
      <c r="B6" s="455" t="s">
        <v>140</v>
      </c>
      <c r="C6" s="456"/>
      <c r="D6" s="457"/>
      <c r="E6" s="9">
        <v>310000</v>
      </c>
      <c r="F6" s="297">
        <v>1</v>
      </c>
      <c r="G6" s="42">
        <f t="shared" ref="G6:G7" si="0">SUM(E6*F6)</f>
        <v>310000</v>
      </c>
    </row>
    <row r="7" spans="1:8" x14ac:dyDescent="0.2">
      <c r="A7" s="7"/>
      <c r="B7" s="455" t="s">
        <v>140</v>
      </c>
      <c r="C7" s="456"/>
      <c r="D7" s="457"/>
      <c r="E7" s="9">
        <v>367898</v>
      </c>
      <c r="F7" s="297">
        <v>11</v>
      </c>
      <c r="G7" s="42">
        <f t="shared" si="0"/>
        <v>4046878</v>
      </c>
    </row>
    <row r="8" spans="1:8" x14ac:dyDescent="0.2">
      <c r="A8" s="7"/>
      <c r="B8" s="455" t="s">
        <v>141</v>
      </c>
      <c r="C8" s="456"/>
      <c r="D8" s="457"/>
      <c r="E8" s="338">
        <v>234330</v>
      </c>
      <c r="F8" s="297">
        <v>1</v>
      </c>
      <c r="G8" s="42">
        <f>SUM(E8*F8)</f>
        <v>234330</v>
      </c>
    </row>
    <row r="9" spans="1:8" x14ac:dyDescent="0.2">
      <c r="A9" s="7"/>
      <c r="B9" s="455" t="s">
        <v>141</v>
      </c>
      <c r="C9" s="456"/>
      <c r="D9" s="457"/>
      <c r="E9" s="179">
        <v>286000</v>
      </c>
      <c r="F9" s="297">
        <v>11</v>
      </c>
      <c r="G9" s="42">
        <f t="shared" ref="G9:G15" si="1">SUM(E9*F9)</f>
        <v>3146000</v>
      </c>
    </row>
    <row r="10" spans="1:8" x14ac:dyDescent="0.2">
      <c r="A10" s="7"/>
      <c r="B10" s="455" t="s">
        <v>143</v>
      </c>
      <c r="C10" s="456"/>
      <c r="D10" s="457"/>
      <c r="E10" s="179">
        <v>234330</v>
      </c>
      <c r="F10" s="297">
        <v>1</v>
      </c>
      <c r="G10" s="42">
        <f t="shared" si="1"/>
        <v>234330</v>
      </c>
    </row>
    <row r="11" spans="1:8" x14ac:dyDescent="0.2">
      <c r="A11" s="7"/>
      <c r="B11" s="455" t="s">
        <v>143</v>
      </c>
      <c r="C11" s="456"/>
      <c r="D11" s="457"/>
      <c r="E11" s="179">
        <v>300000</v>
      </c>
      <c r="F11" s="297">
        <v>11</v>
      </c>
      <c r="G11" s="42">
        <f t="shared" si="1"/>
        <v>3300000</v>
      </c>
    </row>
    <row r="12" spans="1:8" x14ac:dyDescent="0.2">
      <c r="A12" s="7"/>
      <c r="B12" s="455" t="s">
        <v>152</v>
      </c>
      <c r="C12" s="456"/>
      <c r="D12" s="457"/>
      <c r="E12" s="179">
        <v>234330</v>
      </c>
      <c r="F12" s="297">
        <v>1</v>
      </c>
      <c r="G12" s="42">
        <f t="shared" si="1"/>
        <v>234330</v>
      </c>
      <c r="H12" s="47"/>
    </row>
    <row r="13" spans="1:8" x14ac:dyDescent="0.2">
      <c r="A13" s="7"/>
      <c r="B13" s="455" t="s">
        <v>152</v>
      </c>
      <c r="C13" s="456"/>
      <c r="D13" s="457"/>
      <c r="E13" s="179">
        <v>286000</v>
      </c>
      <c r="F13" s="297">
        <v>11</v>
      </c>
      <c r="G13" s="42">
        <f t="shared" si="1"/>
        <v>3146000</v>
      </c>
      <c r="H13" s="47"/>
    </row>
    <row r="14" spans="1:8" x14ac:dyDescent="0.2">
      <c r="A14" s="7"/>
      <c r="B14" s="455" t="s">
        <v>177</v>
      </c>
      <c r="C14" s="456"/>
      <c r="D14" s="457"/>
      <c r="E14" s="329">
        <v>197400</v>
      </c>
      <c r="F14" s="44">
        <v>1</v>
      </c>
      <c r="G14" s="42">
        <f t="shared" si="1"/>
        <v>197400</v>
      </c>
      <c r="H14" s="47"/>
    </row>
    <row r="15" spans="1:8" x14ac:dyDescent="0.2">
      <c r="A15" s="7"/>
      <c r="B15" s="455" t="s">
        <v>177</v>
      </c>
      <c r="C15" s="456"/>
      <c r="D15" s="457"/>
      <c r="E15" s="329">
        <v>220000</v>
      </c>
      <c r="F15" s="44">
        <v>11</v>
      </c>
      <c r="G15" s="42">
        <f t="shared" si="1"/>
        <v>2420000</v>
      </c>
      <c r="H15" s="47"/>
    </row>
    <row r="16" spans="1:8" ht="12.75" customHeight="1" x14ac:dyDescent="0.2">
      <c r="A16" s="295" t="s">
        <v>115</v>
      </c>
      <c r="B16" s="461" t="s">
        <v>114</v>
      </c>
      <c r="C16" s="462"/>
      <c r="D16" s="463"/>
      <c r="E16" s="270"/>
      <c r="F16" s="271"/>
      <c r="G16" s="272"/>
    </row>
    <row r="17" spans="1:14" ht="23.25" customHeight="1" x14ac:dyDescent="0.2">
      <c r="A17" s="295" t="s">
        <v>179</v>
      </c>
      <c r="B17" s="461" t="s">
        <v>180</v>
      </c>
      <c r="C17" s="462"/>
      <c r="D17" s="463"/>
      <c r="E17" s="270"/>
      <c r="F17" s="271"/>
      <c r="G17" s="272">
        <v>500000</v>
      </c>
    </row>
    <row r="18" spans="1:14" ht="12.75" customHeight="1" x14ac:dyDescent="0.2">
      <c r="A18" s="278" t="s">
        <v>67</v>
      </c>
      <c r="B18" s="461" t="s">
        <v>68</v>
      </c>
      <c r="C18" s="462"/>
      <c r="D18" s="463"/>
      <c r="E18" s="270"/>
      <c r="F18" s="271"/>
      <c r="G18" s="277">
        <v>361000</v>
      </c>
      <c r="H18" t="s">
        <v>170</v>
      </c>
    </row>
    <row r="19" spans="1:14" x14ac:dyDescent="0.2">
      <c r="A19" s="278" t="s">
        <v>5</v>
      </c>
      <c r="B19" s="461" t="s">
        <v>22</v>
      </c>
      <c r="C19" s="462"/>
      <c r="D19" s="463"/>
      <c r="E19" s="270"/>
      <c r="F19" s="271"/>
      <c r="G19" s="277">
        <v>250000</v>
      </c>
      <c r="J19" s="257"/>
      <c r="N19" s="257"/>
    </row>
    <row r="20" spans="1:14" x14ac:dyDescent="0.2">
      <c r="A20" s="276" t="s">
        <v>6</v>
      </c>
      <c r="B20" s="461" t="s">
        <v>23</v>
      </c>
      <c r="C20" s="462"/>
      <c r="D20" s="463"/>
      <c r="E20" s="270"/>
      <c r="F20" s="271"/>
      <c r="G20" s="277">
        <f>SUM(G21)</f>
        <v>60000</v>
      </c>
      <c r="N20" s="257"/>
    </row>
    <row r="21" spans="1:14" x14ac:dyDescent="0.2">
      <c r="A21" s="7"/>
      <c r="B21" s="455" t="s">
        <v>154</v>
      </c>
      <c r="C21" s="456"/>
      <c r="D21" s="457"/>
      <c r="E21" s="56">
        <v>12000</v>
      </c>
      <c r="F21" s="297">
        <v>5</v>
      </c>
      <c r="G21" s="42">
        <f>SUM(E21*F21)</f>
        <v>60000</v>
      </c>
      <c r="N21" s="257"/>
    </row>
    <row r="22" spans="1:14" ht="21.75" customHeight="1" x14ac:dyDescent="0.2">
      <c r="A22" s="276" t="s">
        <v>7</v>
      </c>
      <c r="B22" s="461" t="s">
        <v>24</v>
      </c>
      <c r="C22" s="462"/>
      <c r="D22" s="463"/>
      <c r="E22" s="270"/>
      <c r="F22" s="271"/>
      <c r="G22" s="277">
        <f>SUM(G23:G24)</f>
        <v>840000</v>
      </c>
    </row>
    <row r="23" spans="1:14" x14ac:dyDescent="0.2">
      <c r="A23" s="2"/>
      <c r="B23" s="455" t="s">
        <v>147</v>
      </c>
      <c r="C23" s="456"/>
      <c r="D23" s="457"/>
      <c r="E23" s="41">
        <v>48000</v>
      </c>
      <c r="F23" s="44">
        <v>5</v>
      </c>
      <c r="G23" s="10">
        <f>SUM(E23*F23)</f>
        <v>240000</v>
      </c>
    </row>
    <row r="24" spans="1:14" x14ac:dyDescent="0.2">
      <c r="A24" s="2"/>
      <c r="B24" s="455" t="s">
        <v>148</v>
      </c>
      <c r="C24" s="456"/>
      <c r="D24" s="457"/>
      <c r="E24" s="41"/>
      <c r="F24" s="44"/>
      <c r="G24" s="10">
        <v>600000</v>
      </c>
    </row>
    <row r="25" spans="1:14" ht="38.25" customHeight="1" x14ac:dyDescent="0.2">
      <c r="A25" s="278" t="s">
        <v>8</v>
      </c>
      <c r="B25" s="507" t="s">
        <v>25</v>
      </c>
      <c r="C25" s="508"/>
      <c r="D25" s="509"/>
      <c r="E25" s="279"/>
      <c r="F25" s="271"/>
      <c r="G25" s="277">
        <f>SUM(G26)</f>
        <v>330000</v>
      </c>
    </row>
    <row r="26" spans="1:14" x14ac:dyDescent="0.2">
      <c r="A26" s="7"/>
      <c r="B26" s="455" t="s">
        <v>187</v>
      </c>
      <c r="C26" s="456"/>
      <c r="D26" s="457"/>
      <c r="E26" s="179">
        <v>30000</v>
      </c>
      <c r="F26" s="297">
        <v>11</v>
      </c>
      <c r="G26" s="42">
        <f>SUM(E26*F26)</f>
        <v>330000</v>
      </c>
    </row>
    <row r="27" spans="1:14" ht="24.75" customHeight="1" thickBot="1" x14ac:dyDescent="0.25">
      <c r="A27" s="288" t="s">
        <v>121</v>
      </c>
      <c r="B27" s="510" t="s">
        <v>122</v>
      </c>
      <c r="C27" s="511"/>
      <c r="D27" s="512"/>
      <c r="E27" s="289"/>
      <c r="F27" s="290"/>
      <c r="G27" s="291"/>
    </row>
    <row r="28" spans="1:14" ht="13.5" thickBot="1" x14ac:dyDescent="0.25">
      <c r="A28" s="433" t="s">
        <v>35</v>
      </c>
      <c r="B28" s="434"/>
      <c r="C28" s="214"/>
      <c r="D28" s="215"/>
      <c r="E28" s="199"/>
      <c r="F28" s="52"/>
      <c r="G28" s="53">
        <f>SUM(G5,G22,G25,G27,G16,G19,G18,G20,G17)</f>
        <v>19691000</v>
      </c>
    </row>
    <row r="29" spans="1:14" x14ac:dyDescent="0.2">
      <c r="A29" s="292" t="s">
        <v>9</v>
      </c>
      <c r="B29" s="458" t="s">
        <v>26</v>
      </c>
      <c r="C29" s="459"/>
      <c r="D29" s="460"/>
      <c r="E29" s="270"/>
      <c r="F29" s="323"/>
      <c r="G29" s="272">
        <v>250000</v>
      </c>
    </row>
    <row r="30" spans="1:14" x14ac:dyDescent="0.2">
      <c r="A30" s="292" t="s">
        <v>9</v>
      </c>
      <c r="B30" s="458" t="s">
        <v>26</v>
      </c>
      <c r="C30" s="459"/>
      <c r="D30" s="460"/>
      <c r="E30" s="270">
        <f>SUM((G28-(G6+G8+G10+G12+G14))*F30)</f>
        <v>2402479.3000000003</v>
      </c>
      <c r="F30" s="323">
        <v>0.13</v>
      </c>
      <c r="G30" s="272">
        <v>2410000</v>
      </c>
    </row>
    <row r="31" spans="1:14" x14ac:dyDescent="0.2">
      <c r="A31" s="303" t="s">
        <v>178</v>
      </c>
      <c r="B31" s="461" t="s">
        <v>27</v>
      </c>
      <c r="C31" s="462"/>
      <c r="D31" s="463"/>
      <c r="E31" s="283">
        <f>SUM(G18*F31)</f>
        <v>54150</v>
      </c>
      <c r="F31" s="323">
        <v>0.15</v>
      </c>
      <c r="G31" s="345">
        <v>60000</v>
      </c>
    </row>
    <row r="32" spans="1:14" ht="13.5" thickBot="1" x14ac:dyDescent="0.25">
      <c r="A32" s="303" t="s">
        <v>10</v>
      </c>
      <c r="B32" s="488" t="s">
        <v>27</v>
      </c>
      <c r="C32" s="489"/>
      <c r="D32" s="490"/>
      <c r="E32" s="310"/>
      <c r="F32" s="271"/>
      <c r="G32" s="294">
        <v>180000</v>
      </c>
    </row>
    <row r="33" spans="1:8" ht="13.5" thickBot="1" x14ac:dyDescent="0.25">
      <c r="A33" s="435" t="s">
        <v>69</v>
      </c>
      <c r="B33" s="434"/>
      <c r="C33" s="199"/>
      <c r="D33" s="216"/>
      <c r="E33" s="215"/>
      <c r="F33" s="52"/>
      <c r="G33" s="53">
        <f>SUM(G29:G32)</f>
        <v>2900000</v>
      </c>
    </row>
    <row r="34" spans="1:8" ht="13.5" thickBot="1" x14ac:dyDescent="0.25">
      <c r="A34" s="436" t="s">
        <v>40</v>
      </c>
      <c r="B34" s="437"/>
      <c r="C34" s="174"/>
      <c r="D34" s="174"/>
      <c r="E34" s="174"/>
      <c r="F34" s="45"/>
      <c r="G34" s="26">
        <f>G28+G33</f>
        <v>22591000</v>
      </c>
    </row>
    <row r="35" spans="1:8" ht="13.5" thickBot="1" x14ac:dyDescent="0.25">
      <c r="A35" s="479" t="s">
        <v>104</v>
      </c>
      <c r="B35" s="480"/>
      <c r="C35" s="480"/>
      <c r="D35" s="480"/>
      <c r="E35" s="480"/>
      <c r="F35" s="480"/>
      <c r="G35" s="481"/>
    </row>
    <row r="36" spans="1:8" x14ac:dyDescent="0.2">
      <c r="A36" s="446" t="s">
        <v>0</v>
      </c>
      <c r="B36" s="447" t="s">
        <v>39</v>
      </c>
      <c r="C36" s="447"/>
      <c r="D36" s="447"/>
      <c r="E36" s="447"/>
      <c r="F36" s="447"/>
      <c r="G36" s="16">
        <v>2022</v>
      </c>
    </row>
    <row r="37" spans="1:8" x14ac:dyDescent="0.2">
      <c r="A37" s="441"/>
      <c r="B37" s="443"/>
      <c r="C37" s="443"/>
      <c r="D37" s="443"/>
      <c r="E37" s="443"/>
      <c r="F37" s="443"/>
      <c r="G37" s="16" t="s">
        <v>59</v>
      </c>
    </row>
    <row r="38" spans="1:8" x14ac:dyDescent="0.2">
      <c r="A38" s="276" t="s">
        <v>4</v>
      </c>
      <c r="B38" s="476" t="s">
        <v>21</v>
      </c>
      <c r="C38" s="476"/>
      <c r="D38" s="476"/>
      <c r="E38" s="466"/>
      <c r="F38" s="467"/>
      <c r="G38" s="277">
        <v>22300000</v>
      </c>
      <c r="H38" s="47">
        <f>SUM(G39:G46)</f>
        <v>22153854</v>
      </c>
    </row>
    <row r="39" spans="1:8" x14ac:dyDescent="0.2">
      <c r="A39" s="2"/>
      <c r="B39" s="477" t="s">
        <v>146</v>
      </c>
      <c r="C39" s="477"/>
      <c r="D39" s="477"/>
      <c r="E39" s="56">
        <v>326160</v>
      </c>
      <c r="F39" s="54">
        <v>1</v>
      </c>
      <c r="G39" s="57">
        <f>SUM(E39*F39)</f>
        <v>326160</v>
      </c>
    </row>
    <row r="40" spans="1:8" x14ac:dyDescent="0.2">
      <c r="A40" s="2"/>
      <c r="B40" s="477" t="s">
        <v>146</v>
      </c>
      <c r="C40" s="477"/>
      <c r="D40" s="477"/>
      <c r="E40" s="56">
        <v>447260</v>
      </c>
      <c r="F40" s="54">
        <v>11</v>
      </c>
      <c r="G40" s="57">
        <f t="shared" ref="G40:G46" si="2">SUM(E40*F40)</f>
        <v>4919860</v>
      </c>
    </row>
    <row r="41" spans="1:8" x14ac:dyDescent="0.2">
      <c r="A41" s="2"/>
      <c r="B41" s="477" t="s">
        <v>145</v>
      </c>
      <c r="C41" s="477"/>
      <c r="D41" s="477"/>
      <c r="E41" s="56">
        <v>513387</v>
      </c>
      <c r="F41" s="54">
        <v>1</v>
      </c>
      <c r="G41" s="57">
        <f t="shared" si="2"/>
        <v>513387</v>
      </c>
    </row>
    <row r="42" spans="1:8" x14ac:dyDescent="0.2">
      <c r="A42" s="2"/>
      <c r="B42" s="477" t="s">
        <v>145</v>
      </c>
      <c r="C42" s="477"/>
      <c r="D42" s="477"/>
      <c r="E42" s="56">
        <v>603581</v>
      </c>
      <c r="F42" s="54">
        <v>11</v>
      </c>
      <c r="G42" s="57">
        <f t="shared" si="2"/>
        <v>6639391</v>
      </c>
      <c r="H42" s="47"/>
    </row>
    <row r="43" spans="1:8" x14ac:dyDescent="0.2">
      <c r="A43" s="2"/>
      <c r="B43" s="477" t="s">
        <v>142</v>
      </c>
      <c r="C43" s="477"/>
      <c r="D43" s="477"/>
      <c r="E43" s="56">
        <v>354438</v>
      </c>
      <c r="F43" s="54">
        <v>1</v>
      </c>
      <c r="G43" s="57">
        <f t="shared" si="2"/>
        <v>354438</v>
      </c>
      <c r="H43" s="47"/>
    </row>
    <row r="44" spans="1:8" x14ac:dyDescent="0.2">
      <c r="A44" s="2"/>
      <c r="B44" s="477" t="s">
        <v>142</v>
      </c>
      <c r="C44" s="477"/>
      <c r="D44" s="477"/>
      <c r="E44" s="56">
        <v>440978</v>
      </c>
      <c r="F44" s="54">
        <v>11</v>
      </c>
      <c r="G44" s="57">
        <f t="shared" si="2"/>
        <v>4850758</v>
      </c>
      <c r="H44" s="47"/>
    </row>
    <row r="45" spans="1:8" x14ac:dyDescent="0.2">
      <c r="A45" s="2"/>
      <c r="B45" s="455" t="s">
        <v>172</v>
      </c>
      <c r="C45" s="456"/>
      <c r="D45" s="457"/>
      <c r="E45" s="56">
        <v>313980</v>
      </c>
      <c r="F45" s="54">
        <v>1</v>
      </c>
      <c r="G45" s="57">
        <f t="shared" si="2"/>
        <v>313980</v>
      </c>
      <c r="H45" s="47"/>
    </row>
    <row r="46" spans="1:8" x14ac:dyDescent="0.2">
      <c r="A46" s="2"/>
      <c r="B46" s="455" t="s">
        <v>172</v>
      </c>
      <c r="C46" s="456"/>
      <c r="D46" s="457"/>
      <c r="E46" s="56">
        <v>385080</v>
      </c>
      <c r="F46" s="268">
        <v>11</v>
      </c>
      <c r="G46" s="57">
        <f t="shared" si="2"/>
        <v>4235880</v>
      </c>
      <c r="H46" s="47"/>
    </row>
    <row r="47" spans="1:8" x14ac:dyDescent="0.2">
      <c r="A47" s="278" t="s">
        <v>113</v>
      </c>
      <c r="B47" s="476" t="s">
        <v>114</v>
      </c>
      <c r="C47" s="476"/>
      <c r="D47" s="476"/>
      <c r="E47" s="466"/>
      <c r="F47" s="467"/>
      <c r="G47" s="277"/>
    </row>
    <row r="48" spans="1:8" x14ac:dyDescent="0.2">
      <c r="A48" s="278" t="s">
        <v>106</v>
      </c>
      <c r="B48" s="476" t="s">
        <v>105</v>
      </c>
      <c r="C48" s="476"/>
      <c r="D48" s="476"/>
      <c r="E48" s="466"/>
      <c r="F48" s="467"/>
      <c r="G48" s="277"/>
    </row>
    <row r="49" spans="1:8" x14ac:dyDescent="0.2">
      <c r="A49" s="278" t="s">
        <v>67</v>
      </c>
      <c r="B49" s="476" t="s">
        <v>68</v>
      </c>
      <c r="C49" s="476"/>
      <c r="D49" s="476"/>
      <c r="E49" s="466"/>
      <c r="F49" s="467"/>
      <c r="G49" s="277">
        <v>260000</v>
      </c>
      <c r="H49" t="s">
        <v>170</v>
      </c>
    </row>
    <row r="50" spans="1:8" x14ac:dyDescent="0.2">
      <c r="A50" s="278" t="s">
        <v>5</v>
      </c>
      <c r="B50" s="476" t="s">
        <v>22</v>
      </c>
      <c r="C50" s="476"/>
      <c r="D50" s="476"/>
      <c r="E50" s="466"/>
      <c r="F50" s="467"/>
      <c r="G50" s="277"/>
    </row>
    <row r="51" spans="1:8" x14ac:dyDescent="0.2">
      <c r="A51" s="276" t="s">
        <v>6</v>
      </c>
      <c r="B51" s="476" t="s">
        <v>23</v>
      </c>
      <c r="C51" s="476"/>
      <c r="D51" s="476"/>
      <c r="E51" s="466"/>
      <c r="F51" s="467"/>
      <c r="G51" s="277">
        <f>SUM(G52)</f>
        <v>48000</v>
      </c>
    </row>
    <row r="52" spans="1:8" x14ac:dyDescent="0.2">
      <c r="A52" s="2"/>
      <c r="B52" s="455" t="s">
        <v>154</v>
      </c>
      <c r="C52" s="456"/>
      <c r="D52" s="457"/>
      <c r="E52" s="9">
        <v>12000</v>
      </c>
      <c r="F52" s="54">
        <v>4</v>
      </c>
      <c r="G52" s="10">
        <f>SUM(E52*F52)</f>
        <v>48000</v>
      </c>
    </row>
    <row r="53" spans="1:8" ht="25.5" customHeight="1" x14ac:dyDescent="0.2">
      <c r="A53" s="276" t="s">
        <v>7</v>
      </c>
      <c r="B53" s="476" t="s">
        <v>24</v>
      </c>
      <c r="C53" s="476"/>
      <c r="D53" s="476"/>
      <c r="E53" s="466"/>
      <c r="F53" s="467"/>
      <c r="G53" s="277">
        <f>SUM(G54:G55)</f>
        <v>792000</v>
      </c>
    </row>
    <row r="54" spans="1:8" x14ac:dyDescent="0.2">
      <c r="A54" s="2"/>
      <c r="B54" s="455" t="s">
        <v>147</v>
      </c>
      <c r="C54" s="456"/>
      <c r="D54" s="457"/>
      <c r="E54" s="9">
        <v>48000</v>
      </c>
      <c r="F54" s="54">
        <v>4</v>
      </c>
      <c r="G54" s="10">
        <f>SUM(E54*F54)</f>
        <v>192000</v>
      </c>
    </row>
    <row r="55" spans="1:8" x14ac:dyDescent="0.2">
      <c r="A55" s="2"/>
      <c r="B55" s="455" t="s">
        <v>148</v>
      </c>
      <c r="C55" s="456"/>
      <c r="D55" s="457"/>
      <c r="E55" s="9"/>
      <c r="F55" s="54"/>
      <c r="G55" s="10">
        <v>600000</v>
      </c>
    </row>
    <row r="56" spans="1:8" ht="34.5" customHeight="1" x14ac:dyDescent="0.2">
      <c r="A56" s="278" t="s">
        <v>8</v>
      </c>
      <c r="B56" s="473" t="s">
        <v>25</v>
      </c>
      <c r="C56" s="473"/>
      <c r="D56" s="473"/>
      <c r="E56" s="466"/>
      <c r="F56" s="467"/>
      <c r="G56" s="277">
        <f>SUM(G58)</f>
        <v>3200000</v>
      </c>
    </row>
    <row r="57" spans="1:8" x14ac:dyDescent="0.2">
      <c r="A57" s="43"/>
      <c r="B57" s="478" t="s">
        <v>149</v>
      </c>
      <c r="C57" s="478"/>
      <c r="D57" s="478"/>
      <c r="E57" s="9">
        <v>260000</v>
      </c>
      <c r="F57" s="54">
        <v>1</v>
      </c>
      <c r="G57" s="10">
        <f>SUM(E57*F57)</f>
        <v>260000</v>
      </c>
    </row>
    <row r="58" spans="1:8" x14ac:dyDescent="0.2">
      <c r="A58" s="43"/>
      <c r="B58" s="478" t="s">
        <v>149</v>
      </c>
      <c r="C58" s="478"/>
      <c r="D58" s="478"/>
      <c r="E58" s="9">
        <v>320000</v>
      </c>
      <c r="F58" s="54">
        <v>10</v>
      </c>
      <c r="G58" s="10">
        <f>SUM(E58*F58)</f>
        <v>3200000</v>
      </c>
    </row>
    <row r="59" spans="1:8" ht="24" customHeight="1" thickBot="1" x14ac:dyDescent="0.25">
      <c r="A59" s="285" t="s">
        <v>121</v>
      </c>
      <c r="B59" s="513" t="s">
        <v>122</v>
      </c>
      <c r="C59" s="513"/>
      <c r="D59" s="513"/>
      <c r="E59" s="474"/>
      <c r="F59" s="475"/>
      <c r="G59" s="287"/>
    </row>
    <row r="60" spans="1:8" ht="13.5" thickBot="1" x14ac:dyDescent="0.25">
      <c r="A60" s="497" t="s">
        <v>35</v>
      </c>
      <c r="B60" s="498"/>
      <c r="C60" s="280"/>
      <c r="D60" s="280"/>
      <c r="E60" s="280"/>
      <c r="F60" s="281"/>
      <c r="G60" s="282">
        <f>SUM(G38,G47,G48,G49,G50,G51,G53,G56,G59)</f>
        <v>26600000</v>
      </c>
    </row>
    <row r="61" spans="1:8" x14ac:dyDescent="0.2">
      <c r="A61" s="295" t="s">
        <v>9</v>
      </c>
      <c r="B61" s="461" t="s">
        <v>26</v>
      </c>
      <c r="C61" s="462"/>
      <c r="D61" s="463"/>
      <c r="E61" s="324"/>
      <c r="F61" s="325"/>
      <c r="G61" s="272">
        <v>320000</v>
      </c>
    </row>
    <row r="62" spans="1:8" x14ac:dyDescent="0.2">
      <c r="A62" s="295" t="s">
        <v>9</v>
      </c>
      <c r="B62" s="461" t="s">
        <v>26</v>
      </c>
      <c r="C62" s="462"/>
      <c r="D62" s="463"/>
      <c r="E62" s="299">
        <f>SUM(G60*F62)</f>
        <v>3458000</v>
      </c>
      <c r="F62" s="349">
        <v>0.13</v>
      </c>
      <c r="G62" s="272">
        <v>3500000</v>
      </c>
    </row>
    <row r="63" spans="1:8" x14ac:dyDescent="0.2">
      <c r="A63" s="293" t="s">
        <v>10</v>
      </c>
      <c r="B63" s="461" t="s">
        <v>27</v>
      </c>
      <c r="C63" s="462"/>
      <c r="D63" s="463"/>
      <c r="E63" s="347">
        <f>SUM(G49*F63)</f>
        <v>39000</v>
      </c>
      <c r="F63" s="348">
        <v>0.15</v>
      </c>
      <c r="G63" s="272">
        <v>40000</v>
      </c>
    </row>
    <row r="64" spans="1:8" ht="13.5" thickBot="1" x14ac:dyDescent="0.25">
      <c r="A64" s="293" t="s">
        <v>10</v>
      </c>
      <c r="B64" s="488" t="s">
        <v>27</v>
      </c>
      <c r="C64" s="489"/>
      <c r="D64" s="490"/>
      <c r="E64" s="474"/>
      <c r="F64" s="475"/>
      <c r="G64" s="294">
        <v>60000</v>
      </c>
    </row>
    <row r="65" spans="1:10" ht="13.5" thickBot="1" x14ac:dyDescent="0.25">
      <c r="A65" s="435" t="s">
        <v>69</v>
      </c>
      <c r="B65" s="434"/>
      <c r="C65" s="51"/>
      <c r="D65" s="51"/>
      <c r="E65" s="51"/>
      <c r="F65" s="175"/>
      <c r="G65" s="176">
        <f>SUM(G61:G64)</f>
        <v>3920000</v>
      </c>
    </row>
    <row r="66" spans="1:10" ht="13.5" thickBot="1" x14ac:dyDescent="0.25">
      <c r="A66" s="436" t="s">
        <v>40</v>
      </c>
      <c r="B66" s="437"/>
      <c r="C66" s="174"/>
      <c r="D66" s="174"/>
      <c r="E66" s="26"/>
      <c r="F66" s="45"/>
      <c r="G66" s="26">
        <f>G60+G65</f>
        <v>30520000</v>
      </c>
    </row>
    <row r="67" spans="1:10" x14ac:dyDescent="0.2">
      <c r="A67" s="438" t="s">
        <v>107</v>
      </c>
      <c r="B67" s="439"/>
      <c r="C67" s="439"/>
      <c r="D67" s="439"/>
      <c r="E67" s="439"/>
      <c r="F67" s="439"/>
      <c r="G67" s="440"/>
    </row>
    <row r="68" spans="1:10" x14ac:dyDescent="0.2">
      <c r="A68" s="441" t="s">
        <v>0</v>
      </c>
      <c r="B68" s="443" t="s">
        <v>39</v>
      </c>
      <c r="C68" s="491"/>
      <c r="D68" s="492"/>
      <c r="E68" s="492"/>
      <c r="F68" s="493"/>
      <c r="G68" s="16">
        <v>2022</v>
      </c>
    </row>
    <row r="69" spans="1:10" ht="13.5" thickBot="1" x14ac:dyDescent="0.25">
      <c r="A69" s="442"/>
      <c r="B69" s="444"/>
      <c r="C69" s="494"/>
      <c r="D69" s="495"/>
      <c r="E69" s="495"/>
      <c r="F69" s="496"/>
      <c r="G69" s="17" t="s">
        <v>59</v>
      </c>
    </row>
    <row r="70" spans="1:10" ht="13.5" thickBot="1" x14ac:dyDescent="0.25">
      <c r="A70" s="309" t="s">
        <v>9</v>
      </c>
      <c r="B70" s="499" t="s">
        <v>26</v>
      </c>
      <c r="C70" s="500"/>
      <c r="D70" s="501"/>
      <c r="E70" s="320"/>
      <c r="F70" s="321"/>
      <c r="G70" s="277">
        <v>20000</v>
      </c>
    </row>
    <row r="71" spans="1:10" ht="13.5" thickBot="1" x14ac:dyDescent="0.25">
      <c r="A71" s="435" t="s">
        <v>69</v>
      </c>
      <c r="B71" s="434"/>
      <c r="C71" s="51">
        <f>SUM(C70)</f>
        <v>0</v>
      </c>
      <c r="D71" s="51">
        <f t="shared" ref="D71:E71" si="3">SUM(D70)</f>
        <v>0</v>
      </c>
      <c r="E71" s="51">
        <f t="shared" si="3"/>
        <v>0</v>
      </c>
      <c r="F71" s="175">
        <v>0</v>
      </c>
      <c r="G71" s="176">
        <f>SUM(G69:G70)</f>
        <v>20000</v>
      </c>
    </row>
    <row r="72" spans="1:10" x14ac:dyDescent="0.2">
      <c r="A72" s="269" t="s">
        <v>11</v>
      </c>
      <c r="B72" s="485" t="s">
        <v>28</v>
      </c>
      <c r="C72" s="486"/>
      <c r="D72" s="487"/>
      <c r="E72" s="502"/>
      <c r="F72" s="503"/>
      <c r="G72" s="277">
        <f>SUM(G73:G74)</f>
        <v>57200</v>
      </c>
    </row>
    <row r="73" spans="1:10" x14ac:dyDescent="0.2">
      <c r="A73" s="7"/>
      <c r="B73" s="455" t="s">
        <v>160</v>
      </c>
      <c r="C73" s="456"/>
      <c r="D73" s="457"/>
      <c r="E73" s="9">
        <v>1800</v>
      </c>
      <c r="F73" s="54">
        <v>4</v>
      </c>
      <c r="G73" s="10">
        <f>SUM(E73*F73)</f>
        <v>7200</v>
      </c>
      <c r="I73" s="322">
        <v>0.05</v>
      </c>
      <c r="J73" s="47">
        <f>SUM(G73*I73)</f>
        <v>360</v>
      </c>
    </row>
    <row r="74" spans="1:10" x14ac:dyDescent="0.2">
      <c r="A74" s="7"/>
      <c r="B74" s="455" t="s">
        <v>162</v>
      </c>
      <c r="C74" s="456"/>
      <c r="D74" s="457"/>
      <c r="E74" s="471">
        <v>50000</v>
      </c>
      <c r="F74" s="472"/>
      <c r="G74" s="10">
        <v>50000</v>
      </c>
      <c r="I74" s="322">
        <v>0.05</v>
      </c>
      <c r="J74" s="47">
        <f t="shared" ref="J74:J100" si="4">SUM(G74*I74)</f>
        <v>2500</v>
      </c>
    </row>
    <row r="75" spans="1:10" x14ac:dyDescent="0.2">
      <c r="A75" s="276" t="s">
        <v>12</v>
      </c>
      <c r="B75" s="461" t="s">
        <v>29</v>
      </c>
      <c r="C75" s="462"/>
      <c r="D75" s="463"/>
      <c r="E75" s="466"/>
      <c r="F75" s="467"/>
      <c r="G75" s="277">
        <f>SUM(G76:G81)</f>
        <v>1300000</v>
      </c>
      <c r="J75" s="47"/>
    </row>
    <row r="76" spans="1:10" x14ac:dyDescent="0.2">
      <c r="A76" s="2"/>
      <c r="B76" s="455" t="s">
        <v>156</v>
      </c>
      <c r="C76" s="456"/>
      <c r="D76" s="457"/>
      <c r="E76" s="9">
        <v>30000</v>
      </c>
      <c r="F76" s="54">
        <v>14</v>
      </c>
      <c r="G76" s="10">
        <f>SUM(E76*F76)</f>
        <v>420000</v>
      </c>
      <c r="I76" s="322">
        <v>0.27</v>
      </c>
      <c r="J76" s="47">
        <f t="shared" si="4"/>
        <v>113400.00000000001</v>
      </c>
    </row>
    <row r="77" spans="1:10" x14ac:dyDescent="0.2">
      <c r="A77" s="2"/>
      <c r="B77" s="455" t="s">
        <v>157</v>
      </c>
      <c r="C77" s="456"/>
      <c r="D77" s="457"/>
      <c r="E77" s="471">
        <v>100000</v>
      </c>
      <c r="F77" s="472"/>
      <c r="G77" s="10">
        <v>100000</v>
      </c>
      <c r="I77" s="322">
        <v>0.27</v>
      </c>
      <c r="J77" s="47">
        <f t="shared" si="4"/>
        <v>27000</v>
      </c>
    </row>
    <row r="78" spans="1:10" x14ac:dyDescent="0.2">
      <c r="A78" s="2"/>
      <c r="B78" s="455" t="s">
        <v>158</v>
      </c>
      <c r="C78" s="456"/>
      <c r="D78" s="457"/>
      <c r="E78" s="471">
        <v>50000</v>
      </c>
      <c r="F78" s="472"/>
      <c r="G78" s="10">
        <v>50000</v>
      </c>
      <c r="I78" s="322">
        <v>0.27</v>
      </c>
      <c r="J78" s="47">
        <f t="shared" si="4"/>
        <v>13500</v>
      </c>
    </row>
    <row r="79" spans="1:10" x14ac:dyDescent="0.2">
      <c r="A79" s="2"/>
      <c r="B79" s="326" t="s">
        <v>171</v>
      </c>
      <c r="C79" s="327"/>
      <c r="D79" s="328"/>
      <c r="E79" s="471">
        <v>200000</v>
      </c>
      <c r="F79" s="472"/>
      <c r="G79" s="10">
        <v>200000</v>
      </c>
      <c r="I79" s="322">
        <v>0.27</v>
      </c>
      <c r="J79" s="47">
        <f t="shared" si="4"/>
        <v>54000</v>
      </c>
    </row>
    <row r="80" spans="1:10" x14ac:dyDescent="0.2">
      <c r="A80" s="2"/>
      <c r="B80" s="455" t="s">
        <v>181</v>
      </c>
      <c r="C80" s="456"/>
      <c r="D80" s="457"/>
      <c r="E80" s="471">
        <v>120000</v>
      </c>
      <c r="F80" s="472"/>
      <c r="G80" s="10">
        <v>120000</v>
      </c>
      <c r="I80" s="322">
        <v>0.27</v>
      </c>
      <c r="J80" s="47">
        <f t="shared" si="4"/>
        <v>32400.000000000004</v>
      </c>
    </row>
    <row r="81" spans="1:10" x14ac:dyDescent="0.2">
      <c r="A81" s="2"/>
      <c r="B81" s="455" t="s">
        <v>161</v>
      </c>
      <c r="C81" s="456"/>
      <c r="D81" s="457"/>
      <c r="E81" s="471">
        <v>410000</v>
      </c>
      <c r="F81" s="472"/>
      <c r="G81" s="10">
        <v>410000</v>
      </c>
      <c r="I81" s="322">
        <v>0.27</v>
      </c>
      <c r="J81" s="47">
        <f t="shared" si="4"/>
        <v>110700.00000000001</v>
      </c>
    </row>
    <row r="82" spans="1:10" x14ac:dyDescent="0.2">
      <c r="A82" s="278" t="s">
        <v>70</v>
      </c>
      <c r="B82" s="461" t="s">
        <v>71</v>
      </c>
      <c r="C82" s="462"/>
      <c r="D82" s="463"/>
      <c r="E82" s="466"/>
      <c r="F82" s="467"/>
      <c r="G82" s="277">
        <f>SUM(G83)</f>
        <v>96000</v>
      </c>
      <c r="J82" s="47"/>
    </row>
    <row r="83" spans="1:10" x14ac:dyDescent="0.2">
      <c r="A83" s="2"/>
      <c r="B83" s="455" t="s">
        <v>163</v>
      </c>
      <c r="C83" s="456"/>
      <c r="D83" s="457"/>
      <c r="E83" s="219">
        <v>8000</v>
      </c>
      <c r="F83" s="9">
        <v>12</v>
      </c>
      <c r="G83" s="10">
        <f>SUM(E83*F83)</f>
        <v>96000</v>
      </c>
      <c r="I83" s="322">
        <v>0.05</v>
      </c>
      <c r="J83" s="47">
        <f t="shared" si="4"/>
        <v>4800</v>
      </c>
    </row>
    <row r="84" spans="1:10" x14ac:dyDescent="0.2">
      <c r="A84" s="302" t="s">
        <v>13</v>
      </c>
      <c r="B84" s="461" t="s">
        <v>72</v>
      </c>
      <c r="C84" s="462"/>
      <c r="D84" s="463"/>
      <c r="E84" s="466"/>
      <c r="F84" s="467"/>
      <c r="G84" s="277">
        <f>SUM(G85)</f>
        <v>66000</v>
      </c>
      <c r="J84" s="47"/>
    </row>
    <row r="85" spans="1:10" x14ac:dyDescent="0.2">
      <c r="A85" s="2"/>
      <c r="B85" s="455" t="s">
        <v>164</v>
      </c>
      <c r="C85" s="456"/>
      <c r="D85" s="457"/>
      <c r="E85" s="219">
        <v>5500</v>
      </c>
      <c r="F85" s="9">
        <v>12</v>
      </c>
      <c r="G85" s="10">
        <f>SUM(E85*F85)</f>
        <v>66000</v>
      </c>
      <c r="I85" s="322">
        <v>0.27</v>
      </c>
      <c r="J85" s="47">
        <f t="shared" si="4"/>
        <v>17820</v>
      </c>
    </row>
    <row r="86" spans="1:10" x14ac:dyDescent="0.2">
      <c r="A86" s="278" t="s">
        <v>78</v>
      </c>
      <c r="B86" s="461" t="s">
        <v>123</v>
      </c>
      <c r="C86" s="462"/>
      <c r="D86" s="463"/>
      <c r="E86" s="466"/>
      <c r="F86" s="467"/>
      <c r="G86" s="277">
        <f>SUM(G87:G89)</f>
        <v>2500000</v>
      </c>
      <c r="J86" s="47"/>
    </row>
    <row r="87" spans="1:10" x14ac:dyDescent="0.2">
      <c r="A87" s="2" t="s">
        <v>82</v>
      </c>
      <c r="B87" s="468" t="s">
        <v>79</v>
      </c>
      <c r="C87" s="469"/>
      <c r="D87" s="470"/>
      <c r="E87" s="464">
        <v>400000</v>
      </c>
      <c r="F87" s="465"/>
      <c r="G87" s="57">
        <f>SUM(E87)</f>
        <v>400000</v>
      </c>
      <c r="I87" s="322">
        <v>0.27</v>
      </c>
      <c r="J87" s="47">
        <f t="shared" si="4"/>
        <v>108000</v>
      </c>
    </row>
    <row r="88" spans="1:10" x14ac:dyDescent="0.2">
      <c r="A88" s="2" t="s">
        <v>81</v>
      </c>
      <c r="B88" s="468" t="s">
        <v>80</v>
      </c>
      <c r="C88" s="469"/>
      <c r="D88" s="470"/>
      <c r="E88" s="464">
        <v>1600000</v>
      </c>
      <c r="F88" s="465"/>
      <c r="G88" s="57">
        <f t="shared" ref="G88:G89" si="5">SUM(E88)</f>
        <v>1600000</v>
      </c>
      <c r="I88" s="322">
        <v>0.27</v>
      </c>
      <c r="J88" s="47">
        <f t="shared" si="4"/>
        <v>432000</v>
      </c>
    </row>
    <row r="89" spans="1:10" x14ac:dyDescent="0.2">
      <c r="A89" s="2" t="s">
        <v>83</v>
      </c>
      <c r="B89" s="468" t="s">
        <v>84</v>
      </c>
      <c r="C89" s="469"/>
      <c r="D89" s="470"/>
      <c r="E89" s="464">
        <v>500000</v>
      </c>
      <c r="F89" s="465"/>
      <c r="G89" s="57">
        <f t="shared" si="5"/>
        <v>500000</v>
      </c>
      <c r="I89" s="322">
        <v>0.27</v>
      </c>
      <c r="J89" s="47">
        <f t="shared" si="4"/>
        <v>135000</v>
      </c>
    </row>
    <row r="90" spans="1:10" x14ac:dyDescent="0.2">
      <c r="A90" s="278" t="s">
        <v>76</v>
      </c>
      <c r="B90" s="461" t="s">
        <v>77</v>
      </c>
      <c r="C90" s="462"/>
      <c r="D90" s="463"/>
      <c r="E90" s="466"/>
      <c r="F90" s="467"/>
      <c r="G90" s="277">
        <f>SUM(G91:G91)</f>
        <v>3000000</v>
      </c>
      <c r="J90" s="47"/>
    </row>
    <row r="91" spans="1:10" x14ac:dyDescent="0.2">
      <c r="A91" s="2"/>
      <c r="B91" s="468" t="s">
        <v>182</v>
      </c>
      <c r="C91" s="469"/>
      <c r="D91" s="470"/>
      <c r="E91" s="464">
        <v>3000000</v>
      </c>
      <c r="F91" s="465"/>
      <c r="G91" s="57">
        <f>SUM(E91)</f>
        <v>3000000</v>
      </c>
      <c r="I91" s="322">
        <v>0.27</v>
      </c>
      <c r="J91" s="47">
        <f t="shared" si="4"/>
        <v>810000</v>
      </c>
    </row>
    <row r="92" spans="1:10" ht="12.75" customHeight="1" x14ac:dyDescent="0.2">
      <c r="A92" s="278" t="s">
        <v>108</v>
      </c>
      <c r="B92" s="461" t="s">
        <v>109</v>
      </c>
      <c r="C92" s="462"/>
      <c r="D92" s="463"/>
      <c r="E92" s="466"/>
      <c r="F92" s="467"/>
      <c r="G92" s="277">
        <f>SUM(G93:G96)</f>
        <v>3173800</v>
      </c>
      <c r="J92" s="47"/>
    </row>
    <row r="93" spans="1:10" x14ac:dyDescent="0.2">
      <c r="A93" s="2"/>
      <c r="B93" s="468" t="s">
        <v>165</v>
      </c>
      <c r="C93" s="469"/>
      <c r="D93" s="470"/>
      <c r="E93" s="311">
        <v>1700</v>
      </c>
      <c r="F93" s="56">
        <v>14</v>
      </c>
      <c r="G93" s="57">
        <f>SUM(E93*F93)</f>
        <v>23800</v>
      </c>
      <c r="J93" s="47">
        <f t="shared" si="4"/>
        <v>0</v>
      </c>
    </row>
    <row r="94" spans="1:10" x14ac:dyDescent="0.2">
      <c r="A94" s="2"/>
      <c r="B94" s="468" t="s">
        <v>166</v>
      </c>
      <c r="C94" s="469"/>
      <c r="D94" s="470"/>
      <c r="E94" s="464">
        <v>100000</v>
      </c>
      <c r="F94" s="465"/>
      <c r="G94" s="57">
        <v>100000</v>
      </c>
      <c r="J94" s="47">
        <f t="shared" si="4"/>
        <v>0</v>
      </c>
    </row>
    <row r="95" spans="1:10" x14ac:dyDescent="0.2">
      <c r="A95" s="2"/>
      <c r="B95" s="468" t="s">
        <v>183</v>
      </c>
      <c r="C95" s="469"/>
      <c r="D95" s="470"/>
      <c r="E95" s="343"/>
      <c r="F95" s="344"/>
      <c r="G95" s="57">
        <v>3000000</v>
      </c>
      <c r="J95" s="47"/>
    </row>
    <row r="96" spans="1:10" x14ac:dyDescent="0.2">
      <c r="A96" s="2"/>
      <c r="B96" s="468" t="s">
        <v>109</v>
      </c>
      <c r="C96" s="469"/>
      <c r="D96" s="470"/>
      <c r="E96" s="464">
        <v>50000</v>
      </c>
      <c r="F96" s="465"/>
      <c r="G96" s="57">
        <v>50000</v>
      </c>
      <c r="I96" s="322">
        <v>0.27</v>
      </c>
      <c r="J96" s="47">
        <f t="shared" si="4"/>
        <v>13500</v>
      </c>
    </row>
    <row r="97" spans="1:10" x14ac:dyDescent="0.2">
      <c r="A97" s="276" t="s">
        <v>14</v>
      </c>
      <c r="B97" s="461" t="s">
        <v>30</v>
      </c>
      <c r="C97" s="462"/>
      <c r="D97" s="463"/>
      <c r="E97" s="283"/>
      <c r="F97" s="284"/>
      <c r="G97" s="277">
        <f>SUM(G98:G100)</f>
        <v>500000</v>
      </c>
      <c r="J97" s="47"/>
    </row>
    <row r="98" spans="1:10" x14ac:dyDescent="0.2">
      <c r="A98" s="2"/>
      <c r="B98" s="468" t="s">
        <v>167</v>
      </c>
      <c r="C98" s="469"/>
      <c r="D98" s="470"/>
      <c r="E98" s="311">
        <v>12000</v>
      </c>
      <c r="F98" s="56">
        <v>4</v>
      </c>
      <c r="G98" s="57">
        <f>SUM(E98*F98)</f>
        <v>48000</v>
      </c>
      <c r="I98" s="322">
        <v>0.27</v>
      </c>
      <c r="J98" s="47">
        <f t="shared" si="4"/>
        <v>12960</v>
      </c>
    </row>
    <row r="99" spans="1:10" x14ac:dyDescent="0.2">
      <c r="A99" s="2"/>
      <c r="B99" s="468" t="s">
        <v>168</v>
      </c>
      <c r="C99" s="469"/>
      <c r="D99" s="470"/>
      <c r="E99" s="464">
        <v>300000</v>
      </c>
      <c r="F99" s="465"/>
      <c r="G99" s="57">
        <f>SUM(E99)</f>
        <v>300000</v>
      </c>
      <c r="I99" s="257" t="s">
        <v>169</v>
      </c>
      <c r="J99" s="47"/>
    </row>
    <row r="100" spans="1:10" x14ac:dyDescent="0.2">
      <c r="A100" s="2"/>
      <c r="B100" s="468" t="s">
        <v>30</v>
      </c>
      <c r="C100" s="469"/>
      <c r="D100" s="470"/>
      <c r="E100" s="464">
        <v>152000</v>
      </c>
      <c r="F100" s="465"/>
      <c r="G100" s="57">
        <f>SUM(E100)</f>
        <v>152000</v>
      </c>
      <c r="I100" s="322">
        <v>0.27</v>
      </c>
      <c r="J100" s="47">
        <f t="shared" si="4"/>
        <v>41040</v>
      </c>
    </row>
    <row r="101" spans="1:10" x14ac:dyDescent="0.2">
      <c r="A101" s="292" t="s">
        <v>15</v>
      </c>
      <c r="B101" s="461" t="s">
        <v>31</v>
      </c>
      <c r="C101" s="462"/>
      <c r="D101" s="463"/>
      <c r="E101" s="283"/>
      <c r="F101" s="284"/>
      <c r="G101" s="277">
        <f>SUM(G102)</f>
        <v>100000</v>
      </c>
    </row>
    <row r="102" spans="1:10" x14ac:dyDescent="0.2">
      <c r="A102" s="2"/>
      <c r="B102" s="468" t="s">
        <v>31</v>
      </c>
      <c r="C102" s="469"/>
      <c r="D102" s="470"/>
      <c r="E102" s="464">
        <v>100000</v>
      </c>
      <c r="F102" s="465"/>
      <c r="G102" s="57">
        <v>100000</v>
      </c>
    </row>
    <row r="103" spans="1:10" ht="21" customHeight="1" x14ac:dyDescent="0.2">
      <c r="A103" s="276" t="s">
        <v>16</v>
      </c>
      <c r="B103" s="461" t="s">
        <v>32</v>
      </c>
      <c r="C103" s="462"/>
      <c r="D103" s="463"/>
      <c r="E103" s="283"/>
      <c r="F103" s="284"/>
      <c r="G103" s="277">
        <v>2200000</v>
      </c>
      <c r="J103" s="47">
        <f>SUM(J73:J101)</f>
        <v>1928980</v>
      </c>
    </row>
    <row r="104" spans="1:10" ht="22.5" customHeight="1" thickBot="1" x14ac:dyDescent="0.25">
      <c r="A104" s="303" t="s">
        <v>17</v>
      </c>
      <c r="B104" s="482" t="s">
        <v>61</v>
      </c>
      <c r="C104" s="483"/>
      <c r="D104" s="484"/>
      <c r="E104" s="283"/>
      <c r="F104" s="284"/>
      <c r="G104" s="294">
        <v>5000</v>
      </c>
    </row>
    <row r="105" spans="1:10" ht="13.5" thickBot="1" x14ac:dyDescent="0.25">
      <c r="A105" s="435" t="s">
        <v>37</v>
      </c>
      <c r="B105" s="454"/>
      <c r="C105" s="60"/>
      <c r="D105" s="60"/>
      <c r="E105" s="60"/>
      <c r="F105" s="52"/>
      <c r="G105" s="53">
        <f>SUM(G72,G75,G82,G84,G86,G90,G92,G97,G101,G103,G104)</f>
        <v>12998000</v>
      </c>
    </row>
    <row r="106" spans="1:10" x14ac:dyDescent="0.2">
      <c r="A106" s="304" t="s">
        <v>137</v>
      </c>
      <c r="B106" s="305" t="s">
        <v>138</v>
      </c>
      <c r="C106" s="306"/>
      <c r="D106" s="306"/>
      <c r="E106" s="306"/>
      <c r="F106" s="307"/>
      <c r="G106" s="308">
        <v>0</v>
      </c>
    </row>
    <row r="107" spans="1:10" ht="13.5" thickBot="1" x14ac:dyDescent="0.25">
      <c r="A107" s="435" t="s">
        <v>136</v>
      </c>
      <c r="B107" s="454"/>
      <c r="C107" s="60"/>
      <c r="D107" s="60"/>
      <c r="E107" s="60"/>
      <c r="F107" s="52"/>
      <c r="G107" s="53">
        <f>SUM(G106)</f>
        <v>0</v>
      </c>
    </row>
    <row r="108" spans="1:10" x14ac:dyDescent="0.2">
      <c r="A108" s="309" t="s">
        <v>85</v>
      </c>
      <c r="B108" s="485" t="s">
        <v>86</v>
      </c>
      <c r="C108" s="486"/>
      <c r="D108" s="487"/>
      <c r="E108" s="273"/>
      <c r="F108" s="274"/>
      <c r="G108" s="275">
        <f>SUM(G109:G109)</f>
        <v>300000</v>
      </c>
    </row>
    <row r="109" spans="1:10" x14ac:dyDescent="0.2">
      <c r="A109" s="2"/>
      <c r="B109" s="468" t="s">
        <v>184</v>
      </c>
      <c r="C109" s="469"/>
      <c r="D109" s="470"/>
      <c r="E109" s="464"/>
      <c r="F109" s="465"/>
      <c r="G109" s="57">
        <v>300000</v>
      </c>
      <c r="I109" s="322">
        <v>0.27</v>
      </c>
      <c r="J109">
        <f>SUM(G109*I109)</f>
        <v>81000</v>
      </c>
    </row>
    <row r="110" spans="1:10" ht="21.75" customHeight="1" thickBot="1" x14ac:dyDescent="0.25">
      <c r="A110" s="278" t="s">
        <v>87</v>
      </c>
      <c r="B110" s="482" t="s">
        <v>89</v>
      </c>
      <c r="C110" s="483"/>
      <c r="D110" s="484"/>
      <c r="E110" s="299"/>
      <c r="F110" s="271"/>
      <c r="G110" s="277">
        <f>SUM(J109:J109)</f>
        <v>81000</v>
      </c>
    </row>
    <row r="111" spans="1:10" ht="13.5" thickBot="1" x14ac:dyDescent="0.25">
      <c r="A111" s="435" t="s">
        <v>88</v>
      </c>
      <c r="B111" s="454"/>
      <c r="C111" s="60"/>
      <c r="D111" s="60"/>
      <c r="E111" s="60"/>
      <c r="F111" s="175"/>
      <c r="G111" s="176">
        <f>G108+G110</f>
        <v>381000</v>
      </c>
    </row>
    <row r="112" spans="1:10" ht="13.5" thickBot="1" x14ac:dyDescent="0.25">
      <c r="A112" s="452" t="s">
        <v>40</v>
      </c>
      <c r="B112" s="453"/>
      <c r="C112" s="62"/>
      <c r="D112" s="62"/>
      <c r="E112" s="62"/>
      <c r="F112" s="67"/>
      <c r="G112" s="62">
        <f>SUM(G71,G105,G107,G111)</f>
        <v>13399000</v>
      </c>
    </row>
    <row r="113" spans="1:8" x14ac:dyDescent="0.2">
      <c r="A113" s="438" t="s">
        <v>110</v>
      </c>
      <c r="B113" s="439"/>
      <c r="C113" s="439"/>
      <c r="D113" s="439"/>
      <c r="E113" s="439"/>
      <c r="F113" s="439"/>
      <c r="G113" s="440"/>
    </row>
    <row r="114" spans="1:8" x14ac:dyDescent="0.2">
      <c r="A114" s="441" t="s">
        <v>0</v>
      </c>
      <c r="B114" s="443" t="s">
        <v>39</v>
      </c>
      <c r="C114" s="491"/>
      <c r="D114" s="492"/>
      <c r="E114" s="492"/>
      <c r="F114" s="493"/>
      <c r="G114" s="16">
        <v>2022</v>
      </c>
    </row>
    <row r="115" spans="1:8" ht="13.5" thickBot="1" x14ac:dyDescent="0.25">
      <c r="A115" s="442"/>
      <c r="B115" s="444"/>
      <c r="C115" s="494"/>
      <c r="D115" s="495"/>
      <c r="E115" s="495"/>
      <c r="F115" s="496"/>
      <c r="G115" s="17" t="s">
        <v>59</v>
      </c>
    </row>
    <row r="116" spans="1:8" ht="15" customHeight="1" x14ac:dyDescent="0.2">
      <c r="A116" s="292" t="s">
        <v>4</v>
      </c>
      <c r="B116" s="485" t="s">
        <v>21</v>
      </c>
      <c r="C116" s="486"/>
      <c r="D116" s="487"/>
      <c r="E116" s="270"/>
      <c r="F116" s="271"/>
      <c r="G116" s="272">
        <v>3400000</v>
      </c>
      <c r="H116" s="47">
        <f>SUM(G117:G118)</f>
        <v>3380330</v>
      </c>
    </row>
    <row r="117" spans="1:8" x14ac:dyDescent="0.2">
      <c r="A117" s="7"/>
      <c r="B117" s="455" t="s">
        <v>150</v>
      </c>
      <c r="C117" s="456"/>
      <c r="D117" s="457"/>
      <c r="E117" s="41">
        <v>234330</v>
      </c>
      <c r="F117" s="44">
        <v>1</v>
      </c>
      <c r="G117" s="42">
        <f>SUM(E117*F117)</f>
        <v>234330</v>
      </c>
    </row>
    <row r="118" spans="1:8" x14ac:dyDescent="0.2">
      <c r="A118" s="7"/>
      <c r="B118" s="455" t="s">
        <v>150</v>
      </c>
      <c r="C118" s="456"/>
      <c r="D118" s="457"/>
      <c r="E118" s="41">
        <v>286000</v>
      </c>
      <c r="F118" s="44">
        <v>11</v>
      </c>
      <c r="G118" s="42">
        <f>SUM(E118*F118)</f>
        <v>3146000</v>
      </c>
    </row>
    <row r="119" spans="1:8" x14ac:dyDescent="0.2">
      <c r="A119" s="295" t="s">
        <v>115</v>
      </c>
      <c r="B119" s="461" t="s">
        <v>114</v>
      </c>
      <c r="C119" s="462"/>
      <c r="D119" s="463"/>
      <c r="E119" s="270"/>
      <c r="F119" s="271"/>
      <c r="G119" s="272"/>
    </row>
    <row r="120" spans="1:8" x14ac:dyDescent="0.2">
      <c r="A120" s="278" t="s">
        <v>67</v>
      </c>
      <c r="B120" s="461" t="s">
        <v>68</v>
      </c>
      <c r="C120" s="462"/>
      <c r="D120" s="463"/>
      <c r="E120" s="270"/>
      <c r="F120" s="271"/>
      <c r="G120" s="277">
        <v>60000</v>
      </c>
      <c r="H120" t="s">
        <v>170</v>
      </c>
    </row>
    <row r="121" spans="1:8" x14ac:dyDescent="0.2">
      <c r="A121" s="276" t="s">
        <v>6</v>
      </c>
      <c r="B121" s="461" t="s">
        <v>23</v>
      </c>
      <c r="C121" s="462"/>
      <c r="D121" s="463"/>
      <c r="E121" s="270"/>
      <c r="F121" s="271"/>
      <c r="G121" s="277">
        <f>SUM(G122)</f>
        <v>12000</v>
      </c>
    </row>
    <row r="122" spans="1:8" x14ac:dyDescent="0.2">
      <c r="A122" s="7"/>
      <c r="B122" s="455" t="s">
        <v>154</v>
      </c>
      <c r="C122" s="456"/>
      <c r="D122" s="457"/>
      <c r="E122" s="41">
        <v>12000</v>
      </c>
      <c r="F122" s="44">
        <v>1</v>
      </c>
      <c r="G122" s="42">
        <v>12000</v>
      </c>
    </row>
    <row r="123" spans="1:8" ht="24.75" customHeight="1" x14ac:dyDescent="0.2">
      <c r="A123" s="276" t="s">
        <v>7</v>
      </c>
      <c r="B123" s="461" t="s">
        <v>24</v>
      </c>
      <c r="C123" s="462"/>
      <c r="D123" s="463"/>
      <c r="E123" s="270"/>
      <c r="F123" s="271"/>
      <c r="G123" s="277">
        <f>SUM(G124:G125)</f>
        <v>200000</v>
      </c>
    </row>
    <row r="124" spans="1:8" x14ac:dyDescent="0.2">
      <c r="A124" s="3"/>
      <c r="B124" s="455" t="s">
        <v>147</v>
      </c>
      <c r="C124" s="456"/>
      <c r="D124" s="457"/>
      <c r="E124" s="41">
        <v>48000</v>
      </c>
      <c r="F124" s="44">
        <v>1</v>
      </c>
      <c r="G124" s="11">
        <v>48000</v>
      </c>
    </row>
    <row r="125" spans="1:8" x14ac:dyDescent="0.2">
      <c r="A125" s="3"/>
      <c r="B125" s="455" t="s">
        <v>148</v>
      </c>
      <c r="C125" s="456"/>
      <c r="D125" s="457"/>
      <c r="E125" s="41"/>
      <c r="F125" s="44"/>
      <c r="G125" s="11">
        <v>152000</v>
      </c>
    </row>
    <row r="126" spans="1:8" ht="38.25" customHeight="1" thickBot="1" x14ac:dyDescent="0.25">
      <c r="A126" s="293" t="s">
        <v>8</v>
      </c>
      <c r="B126" s="504" t="s">
        <v>25</v>
      </c>
      <c r="C126" s="505"/>
      <c r="D126" s="506"/>
      <c r="E126" s="270"/>
      <c r="F126" s="271"/>
      <c r="G126" s="294"/>
    </row>
    <row r="127" spans="1:8" ht="13.5" thickBot="1" x14ac:dyDescent="0.25">
      <c r="A127" s="433" t="s">
        <v>35</v>
      </c>
      <c r="B127" s="434"/>
      <c r="C127" s="51"/>
      <c r="D127" s="51"/>
      <c r="E127" s="51"/>
      <c r="F127" s="52"/>
      <c r="G127" s="53">
        <f>SUM(G116,G119,G120,G121,G123,G126)</f>
        <v>3672000</v>
      </c>
    </row>
    <row r="128" spans="1:8" x14ac:dyDescent="0.2">
      <c r="A128" s="292" t="s">
        <v>9</v>
      </c>
      <c r="B128" s="485" t="s">
        <v>26</v>
      </c>
      <c r="C128" s="486"/>
      <c r="D128" s="487"/>
      <c r="E128" s="273"/>
      <c r="F128" s="323"/>
      <c r="G128" s="272">
        <v>50000</v>
      </c>
    </row>
    <row r="129" spans="1:8" x14ac:dyDescent="0.2">
      <c r="A129" s="295" t="s">
        <v>9</v>
      </c>
      <c r="B129" s="458" t="s">
        <v>26</v>
      </c>
      <c r="C129" s="459"/>
      <c r="D129" s="460"/>
      <c r="E129" s="283">
        <f>SUM((G127-G117)*F129)</f>
        <v>446897.10000000003</v>
      </c>
      <c r="F129" s="323">
        <v>0.13</v>
      </c>
      <c r="G129" s="277">
        <v>450000</v>
      </c>
    </row>
    <row r="130" spans="1:8" x14ac:dyDescent="0.2">
      <c r="A130" s="293" t="s">
        <v>10</v>
      </c>
      <c r="B130" s="461" t="s">
        <v>27</v>
      </c>
      <c r="C130" s="462"/>
      <c r="D130" s="463"/>
      <c r="E130" s="310">
        <f>SUM(G120*F130)</f>
        <v>9000</v>
      </c>
      <c r="F130" s="323">
        <v>0.15</v>
      </c>
      <c r="G130" s="277">
        <v>10000</v>
      </c>
    </row>
    <row r="131" spans="1:8" ht="13.5" thickBot="1" x14ac:dyDescent="0.25">
      <c r="A131" s="293" t="s">
        <v>10</v>
      </c>
      <c r="B131" s="488" t="s">
        <v>27</v>
      </c>
      <c r="C131" s="489"/>
      <c r="D131" s="490"/>
      <c r="E131" s="286"/>
      <c r="F131" s="271"/>
      <c r="G131" s="294"/>
    </row>
    <row r="132" spans="1:8" ht="13.5" thickBot="1" x14ac:dyDescent="0.25">
      <c r="A132" s="435" t="s">
        <v>69</v>
      </c>
      <c r="B132" s="434"/>
      <c r="C132" s="51"/>
      <c r="D132" s="51"/>
      <c r="E132" s="51"/>
      <c r="F132" s="175"/>
      <c r="G132" s="176">
        <f>SUM(G128:G131)</f>
        <v>510000</v>
      </c>
    </row>
    <row r="133" spans="1:8" ht="13.5" thickBot="1" x14ac:dyDescent="0.25">
      <c r="A133" s="436" t="s">
        <v>40</v>
      </c>
      <c r="B133" s="437"/>
      <c r="C133" s="174"/>
      <c r="D133" s="174"/>
      <c r="E133" s="26"/>
      <c r="F133" s="45"/>
      <c r="G133" s="26">
        <f t="shared" ref="G133" si="6">G127+G132</f>
        <v>4182000</v>
      </c>
    </row>
    <row r="134" spans="1:8" x14ac:dyDescent="0.2">
      <c r="A134" s="438" t="s">
        <v>112</v>
      </c>
      <c r="B134" s="439"/>
      <c r="C134" s="439"/>
      <c r="D134" s="439"/>
      <c r="E134" s="439"/>
      <c r="F134" s="439"/>
      <c r="G134" s="440"/>
    </row>
    <row r="135" spans="1:8" x14ac:dyDescent="0.2">
      <c r="A135" s="441" t="s">
        <v>0</v>
      </c>
      <c r="B135" s="443" t="s">
        <v>39</v>
      </c>
      <c r="C135" s="491"/>
      <c r="D135" s="492"/>
      <c r="E135" s="492"/>
      <c r="F135" s="493"/>
      <c r="G135" s="16">
        <v>2022</v>
      </c>
    </row>
    <row r="136" spans="1:8" ht="13.5" thickBot="1" x14ac:dyDescent="0.25">
      <c r="A136" s="442"/>
      <c r="B136" s="444"/>
      <c r="C136" s="494"/>
      <c r="D136" s="495"/>
      <c r="E136" s="495"/>
      <c r="F136" s="496"/>
      <c r="G136" s="17" t="s">
        <v>59</v>
      </c>
    </row>
    <row r="137" spans="1:8" x14ac:dyDescent="0.2">
      <c r="A137" s="292" t="s">
        <v>4</v>
      </c>
      <c r="B137" s="485" t="s">
        <v>21</v>
      </c>
      <c r="C137" s="486"/>
      <c r="D137" s="487"/>
      <c r="E137" s="270"/>
      <c r="F137" s="271"/>
      <c r="G137" s="272">
        <v>14000000</v>
      </c>
      <c r="H137" s="47">
        <f>SUM(G138:G143)</f>
        <v>13817088</v>
      </c>
    </row>
    <row r="138" spans="1:8" x14ac:dyDescent="0.2">
      <c r="A138" s="7"/>
      <c r="B138" s="455" t="s">
        <v>151</v>
      </c>
      <c r="C138" s="456"/>
      <c r="D138" s="457"/>
      <c r="E138" s="56">
        <v>334870</v>
      </c>
      <c r="F138" s="297">
        <v>1</v>
      </c>
      <c r="G138" s="42">
        <f>SUM(E138*F138)</f>
        <v>334870</v>
      </c>
    </row>
    <row r="139" spans="1:8" x14ac:dyDescent="0.2">
      <c r="A139" s="7"/>
      <c r="B139" s="455" t="s">
        <v>151</v>
      </c>
      <c r="C139" s="456"/>
      <c r="D139" s="457"/>
      <c r="E139" s="56">
        <v>442844</v>
      </c>
      <c r="F139" s="297">
        <v>11</v>
      </c>
      <c r="G139" s="42">
        <f t="shared" ref="G139:G143" si="7">SUM(E139*F139)</f>
        <v>4871284</v>
      </c>
    </row>
    <row r="140" spans="1:8" x14ac:dyDescent="0.2">
      <c r="A140" s="7"/>
      <c r="B140" s="455" t="s">
        <v>144</v>
      </c>
      <c r="C140" s="456"/>
      <c r="D140" s="457"/>
      <c r="E140" s="179">
        <v>295220</v>
      </c>
      <c r="F140" s="297">
        <v>1</v>
      </c>
      <c r="G140" s="42">
        <f t="shared" si="7"/>
        <v>295220</v>
      </c>
    </row>
    <row r="141" spans="1:8" x14ac:dyDescent="0.2">
      <c r="A141" s="7"/>
      <c r="B141" s="455" t="s">
        <v>144</v>
      </c>
      <c r="C141" s="456"/>
      <c r="D141" s="457"/>
      <c r="E141" s="179">
        <v>395264</v>
      </c>
      <c r="F141" s="297">
        <v>11</v>
      </c>
      <c r="G141" s="42">
        <f t="shared" si="7"/>
        <v>4347904</v>
      </c>
    </row>
    <row r="142" spans="1:8" x14ac:dyDescent="0.2">
      <c r="A142" s="7"/>
      <c r="B142" s="455" t="s">
        <v>153</v>
      </c>
      <c r="C142" s="456"/>
      <c r="D142" s="457"/>
      <c r="E142" s="179">
        <v>293370</v>
      </c>
      <c r="F142" s="297">
        <v>1</v>
      </c>
      <c r="G142" s="42">
        <f t="shared" si="7"/>
        <v>293370</v>
      </c>
    </row>
    <row r="143" spans="1:8" x14ac:dyDescent="0.2">
      <c r="A143" s="7"/>
      <c r="B143" s="455" t="s">
        <v>153</v>
      </c>
      <c r="C143" s="456"/>
      <c r="D143" s="457"/>
      <c r="E143" s="179">
        <v>334040</v>
      </c>
      <c r="F143" s="297">
        <v>11</v>
      </c>
      <c r="G143" s="42">
        <f t="shared" si="7"/>
        <v>3674440</v>
      </c>
      <c r="H143" s="47"/>
    </row>
    <row r="144" spans="1:8" x14ac:dyDescent="0.2">
      <c r="A144" s="295" t="s">
        <v>115</v>
      </c>
      <c r="B144" s="461" t="s">
        <v>114</v>
      </c>
      <c r="C144" s="462"/>
      <c r="D144" s="463"/>
      <c r="E144" s="299"/>
      <c r="F144" s="298"/>
      <c r="G144" s="272"/>
    </row>
    <row r="145" spans="1:8" ht="23.25" customHeight="1" x14ac:dyDescent="0.2">
      <c r="A145" s="295" t="s">
        <v>179</v>
      </c>
      <c r="B145" s="461" t="s">
        <v>180</v>
      </c>
      <c r="C145" s="462"/>
      <c r="D145" s="463"/>
      <c r="E145" s="270"/>
      <c r="F145" s="298"/>
      <c r="G145" s="272">
        <v>400000</v>
      </c>
    </row>
    <row r="146" spans="1:8" x14ac:dyDescent="0.2">
      <c r="A146" s="278" t="s">
        <v>67</v>
      </c>
      <c r="B146" s="461" t="s">
        <v>68</v>
      </c>
      <c r="C146" s="462"/>
      <c r="D146" s="463"/>
      <c r="E146" s="270"/>
      <c r="F146" s="271"/>
      <c r="G146" s="277">
        <v>220000</v>
      </c>
      <c r="H146" t="s">
        <v>170</v>
      </c>
    </row>
    <row r="147" spans="1:8" x14ac:dyDescent="0.2">
      <c r="A147" s="276" t="s">
        <v>6</v>
      </c>
      <c r="B147" s="461" t="s">
        <v>23</v>
      </c>
      <c r="C147" s="462"/>
      <c r="D147" s="463"/>
      <c r="E147" s="270"/>
      <c r="F147" s="271"/>
      <c r="G147" s="277">
        <f>SUM(G148)</f>
        <v>36000</v>
      </c>
    </row>
    <row r="148" spans="1:8" x14ac:dyDescent="0.2">
      <c r="A148" s="7"/>
      <c r="B148" s="455" t="s">
        <v>154</v>
      </c>
      <c r="C148" s="456"/>
      <c r="D148" s="457"/>
      <c r="E148" s="179">
        <v>12000</v>
      </c>
      <c r="F148" s="297">
        <v>3</v>
      </c>
      <c r="G148" s="42">
        <f>SUM(E148*F148)</f>
        <v>36000</v>
      </c>
    </row>
    <row r="149" spans="1:8" ht="24.75" customHeight="1" x14ac:dyDescent="0.2">
      <c r="A149" s="276" t="s">
        <v>7</v>
      </c>
      <c r="B149" s="461" t="s">
        <v>24</v>
      </c>
      <c r="C149" s="462"/>
      <c r="D149" s="463"/>
      <c r="E149" s="270"/>
      <c r="F149" s="271"/>
      <c r="G149" s="277">
        <f>SUM(G150:G151)</f>
        <v>644000</v>
      </c>
    </row>
    <row r="150" spans="1:8" x14ac:dyDescent="0.2">
      <c r="A150" s="3"/>
      <c r="B150" s="455" t="s">
        <v>147</v>
      </c>
      <c r="C150" s="456"/>
      <c r="D150" s="457"/>
      <c r="E150" s="41">
        <v>48000</v>
      </c>
      <c r="F150" s="44">
        <v>3</v>
      </c>
      <c r="G150" s="11">
        <f>SUM(E150*F150)</f>
        <v>144000</v>
      </c>
    </row>
    <row r="151" spans="1:8" x14ac:dyDescent="0.2">
      <c r="A151" s="3"/>
      <c r="B151" s="455" t="s">
        <v>148</v>
      </c>
      <c r="C151" s="456"/>
      <c r="D151" s="457"/>
      <c r="E151" s="41"/>
      <c r="F151" s="44"/>
      <c r="G151" s="11">
        <v>500000</v>
      </c>
    </row>
    <row r="152" spans="1:8" ht="36" customHeight="1" thickBot="1" x14ac:dyDescent="0.25">
      <c r="A152" s="293" t="s">
        <v>8</v>
      </c>
      <c r="B152" s="504" t="s">
        <v>25</v>
      </c>
      <c r="C152" s="505"/>
      <c r="D152" s="506"/>
      <c r="E152" s="270"/>
      <c r="F152" s="271"/>
      <c r="G152" s="294"/>
    </row>
    <row r="153" spans="1:8" ht="13.5" thickBot="1" x14ac:dyDescent="0.25">
      <c r="A153" s="433" t="s">
        <v>35</v>
      </c>
      <c r="B153" s="434"/>
      <c r="C153" s="51"/>
      <c r="D153" s="51"/>
      <c r="E153" s="51"/>
      <c r="F153" s="52"/>
      <c r="G153" s="53">
        <f>SUM(G137,G144,G146,G147,G149,G152,G145)</f>
        <v>15300000</v>
      </c>
    </row>
    <row r="154" spans="1:8" x14ac:dyDescent="0.2">
      <c r="A154" s="295" t="s">
        <v>9</v>
      </c>
      <c r="B154" s="458" t="s">
        <v>26</v>
      </c>
      <c r="C154" s="459"/>
      <c r="D154" s="460"/>
      <c r="E154" s="273"/>
      <c r="F154" s="274"/>
      <c r="G154" s="275">
        <v>190000</v>
      </c>
    </row>
    <row r="155" spans="1:8" x14ac:dyDescent="0.2">
      <c r="A155" s="295" t="s">
        <v>9</v>
      </c>
      <c r="B155" s="458" t="s">
        <v>26</v>
      </c>
      <c r="C155" s="459"/>
      <c r="D155" s="460"/>
      <c r="E155" s="270">
        <f>SUM(G153*F155)</f>
        <v>1989000</v>
      </c>
      <c r="F155" s="323">
        <v>0.13</v>
      </c>
      <c r="G155" s="272">
        <v>1940000</v>
      </c>
    </row>
    <row r="156" spans="1:8" x14ac:dyDescent="0.2">
      <c r="A156" s="293" t="s">
        <v>10</v>
      </c>
      <c r="B156" s="461" t="s">
        <v>27</v>
      </c>
      <c r="C156" s="462"/>
      <c r="D156" s="463"/>
      <c r="E156" s="283">
        <f>SUM(G146*F156)</f>
        <v>33000</v>
      </c>
      <c r="F156" s="346">
        <v>0.15</v>
      </c>
      <c r="G156" s="294">
        <v>40000</v>
      </c>
    </row>
    <row r="157" spans="1:8" ht="13.5" thickBot="1" x14ac:dyDescent="0.25">
      <c r="A157" s="293" t="s">
        <v>10</v>
      </c>
      <c r="B157" s="488" t="s">
        <v>27</v>
      </c>
      <c r="C157" s="489"/>
      <c r="D157" s="490"/>
      <c r="E157" s="310"/>
      <c r="F157" s="307"/>
      <c r="G157" s="294">
        <v>60000</v>
      </c>
    </row>
    <row r="158" spans="1:8" ht="13.5" thickBot="1" x14ac:dyDescent="0.25">
      <c r="A158" s="435" t="s">
        <v>69</v>
      </c>
      <c r="B158" s="434"/>
      <c r="C158" s="51"/>
      <c r="D158" s="51"/>
      <c r="E158" s="51"/>
      <c r="F158" s="52"/>
      <c r="G158" s="53">
        <f>SUM(G154:G157)</f>
        <v>2230000</v>
      </c>
    </row>
    <row r="159" spans="1:8" ht="13.5" thickBot="1" x14ac:dyDescent="0.25">
      <c r="A159" s="436" t="s">
        <v>40</v>
      </c>
      <c r="B159" s="437"/>
      <c r="C159" s="174"/>
      <c r="D159" s="174"/>
      <c r="E159" s="26"/>
      <c r="F159" s="45"/>
      <c r="G159" s="26">
        <f>G153+G158</f>
        <v>17530000</v>
      </c>
    </row>
    <row r="160" spans="1:8" ht="13.5" thickBot="1" x14ac:dyDescent="0.25">
      <c r="A160" s="21"/>
      <c r="B160" s="14"/>
      <c r="C160" s="14"/>
      <c r="D160" s="22"/>
      <c r="E160" s="22"/>
      <c r="F160" s="22"/>
      <c r="G160" s="23"/>
    </row>
    <row r="161" spans="1:7" ht="13.5" thickBot="1" x14ac:dyDescent="0.25">
      <c r="A161" s="18" t="s">
        <v>50</v>
      </c>
      <c r="B161" s="19"/>
      <c r="C161" s="20"/>
      <c r="D161" s="20"/>
      <c r="E161" s="20"/>
      <c r="F161" s="70"/>
      <c r="G161" s="20">
        <f>SUM(G34,G66,G112,G133,G159)</f>
        <v>88222000</v>
      </c>
    </row>
    <row r="163" spans="1:7" x14ac:dyDescent="0.2">
      <c r="G163" s="47">
        <f>SUM(G161-'Bevételek COFOG'!F27)</f>
        <v>0</v>
      </c>
    </row>
  </sheetData>
  <mergeCells count="195">
    <mergeCell ref="A132:B132"/>
    <mergeCell ref="A133:B133"/>
    <mergeCell ref="B126:D126"/>
    <mergeCell ref="B128:D128"/>
    <mergeCell ref="B131:D131"/>
    <mergeCell ref="B125:D125"/>
    <mergeCell ref="A71:B71"/>
    <mergeCell ref="A105:B105"/>
    <mergeCell ref="A107:B107"/>
    <mergeCell ref="A111:B111"/>
    <mergeCell ref="B80:D80"/>
    <mergeCell ref="B73:D73"/>
    <mergeCell ref="B114:B115"/>
    <mergeCell ref="A127:B127"/>
    <mergeCell ref="B108:D108"/>
    <mergeCell ref="A1:G1"/>
    <mergeCell ref="A2:G2"/>
    <mergeCell ref="A3:A4"/>
    <mergeCell ref="B3:B4"/>
    <mergeCell ref="A28:B28"/>
    <mergeCell ref="B21:D21"/>
    <mergeCell ref="B5:D5"/>
    <mergeCell ref="E77:F77"/>
    <mergeCell ref="E78:F78"/>
    <mergeCell ref="E80:F80"/>
    <mergeCell ref="E74:F74"/>
    <mergeCell ref="B59:D59"/>
    <mergeCell ref="B150:D150"/>
    <mergeCell ref="B148:D148"/>
    <mergeCell ref="B149:D149"/>
    <mergeCell ref="C3:F4"/>
    <mergeCell ref="B38:D38"/>
    <mergeCell ref="B47:D47"/>
    <mergeCell ref="B42:D42"/>
    <mergeCell ref="B40:D40"/>
    <mergeCell ref="C114:F115"/>
    <mergeCell ref="C135:F136"/>
    <mergeCell ref="B25:D25"/>
    <mergeCell ref="B27:D27"/>
    <mergeCell ref="B30:D30"/>
    <mergeCell ref="B11:D11"/>
    <mergeCell ref="B23:D23"/>
    <mergeCell ref="B24:D24"/>
    <mergeCell ref="B6:D6"/>
    <mergeCell ref="B8:D8"/>
    <mergeCell ref="B10:D10"/>
    <mergeCell ref="B13:D13"/>
    <mergeCell ref="E56:F56"/>
    <mergeCell ref="E53:F53"/>
    <mergeCell ref="E87:F87"/>
    <mergeCell ref="E88:F88"/>
    <mergeCell ref="B98:D98"/>
    <mergeCell ref="B78:D78"/>
    <mergeCell ref="B81:D81"/>
    <mergeCell ref="E81:F81"/>
    <mergeCell ref="B95:D95"/>
    <mergeCell ref="A159:B159"/>
    <mergeCell ref="A134:G134"/>
    <mergeCell ref="A135:A136"/>
    <mergeCell ref="B135:B136"/>
    <mergeCell ref="A153:B153"/>
    <mergeCell ref="A158:B158"/>
    <mergeCell ref="B137:D137"/>
    <mergeCell ref="B144:D144"/>
    <mergeCell ref="B146:D146"/>
    <mergeCell ref="B147:D147"/>
    <mergeCell ref="B152:D152"/>
    <mergeCell ref="B155:D155"/>
    <mergeCell ref="B157:D157"/>
    <mergeCell ref="B151:D151"/>
    <mergeCell ref="B156:D156"/>
    <mergeCell ref="B154:D154"/>
    <mergeCell ref="B145:D145"/>
    <mergeCell ref="B143:D143"/>
    <mergeCell ref="B141:D141"/>
    <mergeCell ref="A60:B60"/>
    <mergeCell ref="B32:D32"/>
    <mergeCell ref="B70:D70"/>
    <mergeCell ref="B72:D72"/>
    <mergeCell ref="B75:D75"/>
    <mergeCell ref="B53:D53"/>
    <mergeCell ref="B58:D58"/>
    <mergeCell ref="A65:B65"/>
    <mergeCell ref="A114:A115"/>
    <mergeCell ref="A112:B112"/>
    <mergeCell ref="A113:G113"/>
    <mergeCell ref="E72:F72"/>
    <mergeCell ref="B76:D76"/>
    <mergeCell ref="B77:D77"/>
    <mergeCell ref="E109:F109"/>
    <mergeCell ref="E91:F91"/>
    <mergeCell ref="E99:F99"/>
    <mergeCell ref="E90:F90"/>
    <mergeCell ref="E100:F100"/>
    <mergeCell ref="E102:F102"/>
    <mergeCell ref="E94:F94"/>
    <mergeCell ref="B109:D109"/>
    <mergeCell ref="B87:D87"/>
    <mergeCell ref="E96:F96"/>
    <mergeCell ref="B7:D7"/>
    <mergeCell ref="B9:D9"/>
    <mergeCell ref="B12:D12"/>
    <mergeCell ref="B110:D110"/>
    <mergeCell ref="B116:D116"/>
    <mergeCell ref="B119:D119"/>
    <mergeCell ref="B120:D120"/>
    <mergeCell ref="B121:D121"/>
    <mergeCell ref="B117:D117"/>
    <mergeCell ref="B92:D92"/>
    <mergeCell ref="B97:D97"/>
    <mergeCell ref="B101:D101"/>
    <mergeCell ref="B103:D103"/>
    <mergeCell ref="B104:D104"/>
    <mergeCell ref="B82:D82"/>
    <mergeCell ref="B84:D84"/>
    <mergeCell ref="B61:D61"/>
    <mergeCell ref="B63:D63"/>
    <mergeCell ref="B91:D91"/>
    <mergeCell ref="B100:D100"/>
    <mergeCell ref="B102:D102"/>
    <mergeCell ref="B94:D94"/>
    <mergeCell ref="B64:D64"/>
    <mergeCell ref="C68:F69"/>
    <mergeCell ref="B14:D14"/>
    <mergeCell ref="B15:D15"/>
    <mergeCell ref="B39:D39"/>
    <mergeCell ref="B45:D45"/>
    <mergeCell ref="B41:D41"/>
    <mergeCell ref="B43:D43"/>
    <mergeCell ref="B44:D44"/>
    <mergeCell ref="B57:D57"/>
    <mergeCell ref="B29:D29"/>
    <mergeCell ref="B31:D31"/>
    <mergeCell ref="B46:D46"/>
    <mergeCell ref="C36:F37"/>
    <mergeCell ref="E38:F38"/>
    <mergeCell ref="A33:B33"/>
    <mergeCell ref="A34:B34"/>
    <mergeCell ref="A35:G35"/>
    <mergeCell ref="B50:D50"/>
    <mergeCell ref="B51:D51"/>
    <mergeCell ref="A36:A37"/>
    <mergeCell ref="B36:B37"/>
    <mergeCell ref="B17:D17"/>
    <mergeCell ref="B16:D16"/>
    <mergeCell ref="B18:D18"/>
    <mergeCell ref="B19:D19"/>
    <mergeCell ref="B20:D20"/>
    <mergeCell ref="B22:D22"/>
    <mergeCell ref="E75:F75"/>
    <mergeCell ref="B26:D26"/>
    <mergeCell ref="A66:B66"/>
    <mergeCell ref="E79:F79"/>
    <mergeCell ref="B56:D56"/>
    <mergeCell ref="B74:D74"/>
    <mergeCell ref="E47:F47"/>
    <mergeCell ref="E48:F48"/>
    <mergeCell ref="A67:G67"/>
    <mergeCell ref="A68:A69"/>
    <mergeCell ref="B68:B69"/>
    <mergeCell ref="B62:D62"/>
    <mergeCell ref="E64:F64"/>
    <mergeCell ref="E50:F50"/>
    <mergeCell ref="E51:F51"/>
    <mergeCell ref="B52:D52"/>
    <mergeCell ref="E59:F59"/>
    <mergeCell ref="B48:D48"/>
    <mergeCell ref="B49:D49"/>
    <mergeCell ref="E49:F49"/>
    <mergeCell ref="B54:D54"/>
    <mergeCell ref="B55:D55"/>
    <mergeCell ref="B118:D118"/>
    <mergeCell ref="B138:D138"/>
    <mergeCell ref="B140:D140"/>
    <mergeCell ref="B142:D142"/>
    <mergeCell ref="B129:D129"/>
    <mergeCell ref="B130:D130"/>
    <mergeCell ref="E89:F89"/>
    <mergeCell ref="E86:F86"/>
    <mergeCell ref="E82:F82"/>
    <mergeCell ref="E84:F84"/>
    <mergeCell ref="B85:D85"/>
    <mergeCell ref="B83:D83"/>
    <mergeCell ref="B123:D123"/>
    <mergeCell ref="B124:D124"/>
    <mergeCell ref="B139:D139"/>
    <mergeCell ref="B99:D99"/>
    <mergeCell ref="E92:F92"/>
    <mergeCell ref="B86:D86"/>
    <mergeCell ref="B93:D93"/>
    <mergeCell ref="B96:D96"/>
    <mergeCell ref="B88:D88"/>
    <mergeCell ref="B122:D122"/>
    <mergeCell ref="B90:D90"/>
    <mergeCell ref="B89:D89"/>
  </mergeCells>
  <phoneticPr fontId="27" type="noConversion"/>
  <pageMargins left="0.7" right="0.7" top="0.75" bottom="0.75" header="0.3" footer="0.3"/>
  <pageSetup paperSize="8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Mérleg(Óvoda 2020)</vt:lpstr>
      <vt:lpstr>Bevételek(Óvoda 2020)</vt:lpstr>
      <vt:lpstr>Bevételek COFOG</vt:lpstr>
      <vt:lpstr>Kiadások(Óvoda 2020)</vt:lpstr>
      <vt:lpstr>Kiadások COFOG szerint</vt:lpstr>
      <vt:lpstr>Részletes cofogos</vt:lpstr>
      <vt:lpstr>'Bevételek COFOG'!Nyomtatási_terület</vt:lpstr>
      <vt:lpstr>'Bevételek(Óvoda 2020)'!Nyomtatási_terület</vt:lpstr>
      <vt:lpstr>'Kiadások COFOG szerint'!Nyomtatási_terület</vt:lpstr>
      <vt:lpstr>'Kiadások(Óvoda 2020)'!Nyomtatási_terület</vt:lpstr>
      <vt:lpstr>'Mérleg(Óvoda 2020)'!Nyomtatási_terület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Csév2</cp:lastModifiedBy>
  <cp:lastPrinted>2022-01-24T14:55:56Z</cp:lastPrinted>
  <dcterms:created xsi:type="dcterms:W3CDTF">2016-01-02T07:48:50Z</dcterms:created>
  <dcterms:modified xsi:type="dcterms:W3CDTF">2022-01-27T13:28:02Z</dcterms:modified>
</cp:coreProperties>
</file>