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10.31\"/>
    </mc:Choice>
  </mc:AlternateContent>
  <xr:revisionPtr revIDLastSave="0" documentId="13_ncr:1_{431B577C-DEDB-4456-A965-9FBB8B1F68F4}" xr6:coauthVersionLast="47" xr6:coauthVersionMax="47" xr10:uidLastSave="{00000000-0000-0000-0000-000000000000}"/>
  <workbookProtection workbookAlgorithmName="SHA-512" workbookHashValue="KQrf6kyORuNWX+P85EOnwpBP/UurOwKDmuUJgeLRY7ty5ajcit1l7MNQWjwKzlfN/5KufXI+0Fyxxcx81fFJWQ==" workbookSaltValue="MXaro6lhqmTn8it1CAK3tQ==" workbookSpinCount="100000" lockStructure="1"/>
  <bookViews>
    <workbookView xWindow="-120" yWindow="-120" windowWidth="29040" windowHeight="15840" tabRatio="500" activeTab="3" xr2:uid="{00000000-000D-0000-FFFF-FFFF00000000}"/>
  </bookViews>
  <sheets>
    <sheet name="Mérleg(önkormányzat 2023)" sheetId="1" r:id="rId1"/>
    <sheet name="Bevételek(önkormányzat 2023" sheetId="2" r:id="rId2"/>
    <sheet name="Bevételek COFOG szerint 2023" sheetId="3" state="hidden" r:id="rId3"/>
    <sheet name="Kiadások(önkormányzat 2023)" sheetId="4" r:id="rId4"/>
    <sheet name="Kiadások COFOG szerint" sheetId="5" state="hidden" r:id="rId5"/>
    <sheet name="Kiadások részletes COFOG" sheetId="6" state="hidden" r:id="rId6"/>
    <sheet name="Kiadások COFOG összesítő" sheetId="7" state="hidden" r:id="rId7"/>
    <sheet name="Pénzmaradvány 2020" sheetId="8" state="hidden" r:id="rId8"/>
  </sheets>
  <definedNames>
    <definedName name="_xlnm._FilterDatabase" localSheetId="2" hidden="1">'Bevételek COFOG szerint 2023'!$A$1:$A$189</definedName>
    <definedName name="_xlnm._FilterDatabase" localSheetId="4" hidden="1">'Kiadások COFOG szerint'!$A$1:$A$341</definedName>
    <definedName name="_xlnm.Print_Area" localSheetId="2">'Bevételek COFOG szerint 2023'!$A$1:$H$181</definedName>
    <definedName name="_xlnm.Print_Area" localSheetId="1">'Bevételek(önkormányzat 2023'!$A$1:$H$44</definedName>
    <definedName name="_xlnm.Print_Area" localSheetId="6">'Kiadások COFOG összesítő'!$A$1:$K$38</definedName>
    <definedName name="_xlnm.Print_Area" localSheetId="4">'Kiadások COFOG szerint'!$A$1:$H$326</definedName>
    <definedName name="_xlnm.Print_Area" localSheetId="5">'Kiadások részletes COFOG'!$A$1:$L$554</definedName>
    <definedName name="_xlnm.Print_Area" localSheetId="3">'Kiadások(önkormányzat 2023)'!$A$1:$H$83</definedName>
    <definedName name="_xlnm.Print_Area" localSheetId="0">'Mérleg(önkormányzat 2023)'!$A$1:$Q$26</definedName>
    <definedName name="_xlnm.Print_Area" localSheetId="7">'Pénzmaradvány 2020'!$A$1:$C$29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4" l="1"/>
  <c r="E8" i="4"/>
  <c r="F8" i="4"/>
  <c r="G8" i="4"/>
  <c r="H8" i="4"/>
  <c r="C9" i="4"/>
  <c r="E9" i="4"/>
  <c r="F9" i="4"/>
  <c r="G9" i="4"/>
  <c r="H9" i="4"/>
  <c r="C10" i="4"/>
  <c r="E10" i="4"/>
  <c r="F10" i="4"/>
  <c r="F19" i="4" s="1"/>
  <c r="G10" i="4"/>
  <c r="H10" i="4"/>
  <c r="C11" i="4"/>
  <c r="E11" i="4"/>
  <c r="E19" i="4" s="1"/>
  <c r="F11" i="4"/>
  <c r="H11" i="4"/>
  <c r="C12" i="4"/>
  <c r="E12" i="4"/>
  <c r="F12" i="4"/>
  <c r="G12" i="4"/>
  <c r="H12" i="4"/>
  <c r="C13" i="4"/>
  <c r="E13" i="4"/>
  <c r="F13" i="4"/>
  <c r="H13" i="4"/>
  <c r="C14" i="4"/>
  <c r="E14" i="4"/>
  <c r="F14" i="4"/>
  <c r="H14" i="4"/>
  <c r="C15" i="4"/>
  <c r="E15" i="4"/>
  <c r="F15" i="4"/>
  <c r="H15" i="4"/>
  <c r="G15" i="4" s="1"/>
  <c r="C16" i="4"/>
  <c r="C19" i="4" s="1"/>
  <c r="E16" i="4"/>
  <c r="F16" i="4"/>
  <c r="H16" i="4"/>
  <c r="G16" i="4" s="1"/>
  <c r="C17" i="4"/>
  <c r="E17" i="4"/>
  <c r="F17" i="4"/>
  <c r="G17" i="4"/>
  <c r="H17" i="4"/>
  <c r="C18" i="4"/>
  <c r="E18" i="4"/>
  <c r="F18" i="4"/>
  <c r="G18" i="4"/>
  <c r="H18" i="4"/>
  <c r="D19" i="4"/>
  <c r="H19" i="4"/>
  <c r="G19" i="4" s="1"/>
  <c r="C20" i="4"/>
  <c r="C21" i="4" s="1"/>
  <c r="E20" i="4"/>
  <c r="F20" i="4"/>
  <c r="F21" i="4" s="1"/>
  <c r="G20" i="4"/>
  <c r="G21" i="4" s="1"/>
  <c r="H20" i="4"/>
  <c r="D21" i="4"/>
  <c r="E21" i="4"/>
  <c r="H21" i="4"/>
  <c r="C22" i="4"/>
  <c r="C50" i="4" s="1"/>
  <c r="E22" i="4"/>
  <c r="F22" i="4"/>
  <c r="H22" i="4"/>
  <c r="G22" i="4" s="1"/>
  <c r="F23" i="4"/>
  <c r="G23" i="4"/>
  <c r="F24" i="4"/>
  <c r="G24" i="4"/>
  <c r="F25" i="4"/>
  <c r="G25" i="4"/>
  <c r="C26" i="4"/>
  <c r="E26" i="4"/>
  <c r="E50" i="4" s="1"/>
  <c r="F26" i="4"/>
  <c r="H26" i="4"/>
  <c r="G26" i="4" s="1"/>
  <c r="F27" i="4"/>
  <c r="G27" i="4"/>
  <c r="F28" i="4"/>
  <c r="G28" i="4"/>
  <c r="F29" i="4"/>
  <c r="G29" i="4"/>
  <c r="F30" i="4"/>
  <c r="G30" i="4"/>
  <c r="F31" i="4"/>
  <c r="G31" i="4"/>
  <c r="F32" i="4"/>
  <c r="G32" i="4"/>
  <c r="C33" i="4"/>
  <c r="E33" i="4"/>
  <c r="F33" i="4"/>
  <c r="H33" i="4"/>
  <c r="G33" i="4" s="1"/>
  <c r="C34" i="4"/>
  <c r="E34" i="4"/>
  <c r="F34" i="4"/>
  <c r="G34" i="4"/>
  <c r="H34" i="4"/>
  <c r="C35" i="4"/>
  <c r="E35" i="4"/>
  <c r="F35" i="4"/>
  <c r="G35" i="4"/>
  <c r="H35" i="4"/>
  <c r="C36" i="4"/>
  <c r="E36" i="4"/>
  <c r="F36" i="4"/>
  <c r="H36" i="4"/>
  <c r="G36" i="4" s="1"/>
  <c r="C37" i="4"/>
  <c r="E37" i="4"/>
  <c r="F37" i="4"/>
  <c r="H37" i="4"/>
  <c r="G37" i="4" s="1"/>
  <c r="C38" i="4"/>
  <c r="E38" i="4"/>
  <c r="F38" i="4"/>
  <c r="G38" i="4"/>
  <c r="H38" i="4"/>
  <c r="C39" i="4"/>
  <c r="E39" i="4"/>
  <c r="F39" i="4"/>
  <c r="H39" i="4"/>
  <c r="G39" i="4" s="1"/>
  <c r="C40" i="4"/>
  <c r="E40" i="4"/>
  <c r="F40" i="4"/>
  <c r="H40" i="4"/>
  <c r="G40" i="4" s="1"/>
  <c r="C41" i="4"/>
  <c r="E41" i="4"/>
  <c r="F41" i="4"/>
  <c r="H41" i="4"/>
  <c r="G41" i="4" s="1"/>
  <c r="C42" i="4"/>
  <c r="E42" i="4"/>
  <c r="F42" i="4"/>
  <c r="G42" i="4"/>
  <c r="H42" i="4"/>
  <c r="C43" i="4"/>
  <c r="E43" i="4"/>
  <c r="F43" i="4"/>
  <c r="H43" i="4"/>
  <c r="G43" i="4" s="1"/>
  <c r="C44" i="4"/>
  <c r="E44" i="4"/>
  <c r="F44" i="4"/>
  <c r="H44" i="4"/>
  <c r="G44" i="4" s="1"/>
  <c r="C45" i="4"/>
  <c r="E45" i="4"/>
  <c r="F45" i="4"/>
  <c r="H45" i="4"/>
  <c r="G45" i="4" s="1"/>
  <c r="C46" i="4"/>
  <c r="E46" i="4"/>
  <c r="F46" i="4"/>
  <c r="G46" i="4"/>
  <c r="H46" i="4"/>
  <c r="C47" i="4"/>
  <c r="E47" i="4"/>
  <c r="F47" i="4"/>
  <c r="G47" i="4"/>
  <c r="H47" i="4"/>
  <c r="C48" i="4"/>
  <c r="E48" i="4"/>
  <c r="F48" i="4"/>
  <c r="H48" i="4"/>
  <c r="G48" i="4" s="1"/>
  <c r="C49" i="4"/>
  <c r="E49" i="4"/>
  <c r="F49" i="4"/>
  <c r="H49" i="4"/>
  <c r="G49" i="4" s="1"/>
  <c r="D50" i="4"/>
  <c r="F50" i="4"/>
  <c r="E51" i="4"/>
  <c r="F51" i="4"/>
  <c r="H51" i="4"/>
  <c r="F52" i="4"/>
  <c r="C53" i="4"/>
  <c r="C58" i="4" s="1"/>
  <c r="E53" i="4"/>
  <c r="E58" i="4" s="1"/>
  <c r="F53" i="4"/>
  <c r="H53" i="4"/>
  <c r="G53" i="4" s="1"/>
  <c r="E54" i="4"/>
  <c r="F54" i="4"/>
  <c r="H54" i="4"/>
  <c r="G54" i="4" s="1"/>
  <c r="F55" i="4"/>
  <c r="F56" i="4"/>
  <c r="C57" i="4"/>
  <c r="H57" i="4"/>
  <c r="F57" i="4" s="1"/>
  <c r="F58" i="4" s="1"/>
  <c r="D58" i="4"/>
  <c r="H59" i="4"/>
  <c r="F59" i="4" s="1"/>
  <c r="F64" i="4" s="1"/>
  <c r="F60" i="4"/>
  <c r="C61" i="4"/>
  <c r="E61" i="4"/>
  <c r="E64" i="4" s="1"/>
  <c r="F61" i="4"/>
  <c r="H61" i="4"/>
  <c r="G61" i="4" s="1"/>
  <c r="E62" i="4"/>
  <c r="F62" i="4"/>
  <c r="H62" i="4"/>
  <c r="C63" i="4"/>
  <c r="E63" i="4"/>
  <c r="F63" i="4"/>
  <c r="H63" i="4"/>
  <c r="G63" i="4" s="1"/>
  <c r="C64" i="4"/>
  <c r="D64" i="4"/>
  <c r="H64" i="4"/>
  <c r="G64" i="4" s="1"/>
  <c r="E65" i="4"/>
  <c r="E66" i="4"/>
  <c r="E67" i="4"/>
  <c r="E68" i="4"/>
  <c r="E69" i="4"/>
  <c r="E70" i="4"/>
  <c r="E71" i="4"/>
  <c r="E72" i="4"/>
  <c r="E74" i="4"/>
  <c r="E75" i="4"/>
  <c r="E76" i="4"/>
  <c r="E77" i="4"/>
  <c r="E78" i="4"/>
  <c r="E79" i="4"/>
  <c r="F65" i="4"/>
  <c r="F66" i="4"/>
  <c r="F67" i="4"/>
  <c r="F68" i="4"/>
  <c r="F69" i="4"/>
  <c r="F70" i="4"/>
  <c r="F71" i="4"/>
  <c r="F72" i="4"/>
  <c r="F74" i="4"/>
  <c r="F75" i="4"/>
  <c r="F76" i="4"/>
  <c r="F77" i="4"/>
  <c r="F78" i="4"/>
  <c r="F79" i="4"/>
  <c r="E73" i="4" l="1"/>
  <c r="E80" i="4" s="1"/>
  <c r="E83" i="4" s="1"/>
  <c r="H58" i="4"/>
  <c r="G58" i="4" s="1"/>
  <c r="H50" i="4"/>
  <c r="G50" i="4" s="1"/>
  <c r="F73" i="4"/>
  <c r="F80" i="4" s="1"/>
  <c r="F83" i="4" s="1"/>
  <c r="H27" i="2"/>
  <c r="F27" i="2"/>
  <c r="E27" i="2"/>
  <c r="D27" i="2"/>
  <c r="C27" i="2"/>
  <c r="D181" i="3"/>
  <c r="E181" i="3"/>
  <c r="F181" i="3"/>
  <c r="C181" i="3"/>
  <c r="H181" i="3"/>
  <c r="E8" i="2"/>
  <c r="E9" i="2"/>
  <c r="E10" i="2"/>
  <c r="E14" i="2" s="1"/>
  <c r="E11" i="2"/>
  <c r="E12" i="2"/>
  <c r="D13" i="2"/>
  <c r="E13" i="2"/>
  <c r="H13" i="2"/>
  <c r="G13" i="2" s="1"/>
  <c r="C14" i="2"/>
  <c r="C15" i="2"/>
  <c r="C16" i="2" s="1"/>
  <c r="D15" i="2"/>
  <c r="E15" i="2"/>
  <c r="E16" i="2" s="1"/>
  <c r="H15" i="2"/>
  <c r="H16" i="2" s="1"/>
  <c r="D16" i="2"/>
  <c r="C17" i="2"/>
  <c r="F17" i="2" s="1"/>
  <c r="G17" i="2"/>
  <c r="C18" i="2"/>
  <c r="D18" i="2"/>
  <c r="D19" i="2" s="1"/>
  <c r="E18" i="2"/>
  <c r="E19" i="2" s="1"/>
  <c r="G18" i="2"/>
  <c r="H18" i="2"/>
  <c r="H19" i="2" s="1"/>
  <c r="C20" i="2"/>
  <c r="D20" i="2"/>
  <c r="E20" i="2"/>
  <c r="E24" i="2" s="1"/>
  <c r="H20" i="2"/>
  <c r="C21" i="2"/>
  <c r="D21" i="2"/>
  <c r="E21" i="2"/>
  <c r="F21" i="2"/>
  <c r="H21" i="2"/>
  <c r="C22" i="2"/>
  <c r="D22" i="2"/>
  <c r="E22" i="2"/>
  <c r="G22" i="2"/>
  <c r="H22" i="2"/>
  <c r="C23" i="2"/>
  <c r="D23" i="2"/>
  <c r="E23" i="2"/>
  <c r="G23" i="2"/>
  <c r="H23" i="2"/>
  <c r="F23" i="2" s="1"/>
  <c r="N19" i="1"/>
  <c r="F113" i="3"/>
  <c r="F112" i="3"/>
  <c r="F11" i="3"/>
  <c r="F12" i="3"/>
  <c r="F13" i="3"/>
  <c r="F14" i="3"/>
  <c r="F15" i="3"/>
  <c r="F16" i="3"/>
  <c r="F17" i="3"/>
  <c r="F25" i="3"/>
  <c r="F26" i="3"/>
  <c r="F27" i="3"/>
  <c r="F28" i="3"/>
  <c r="F29" i="3"/>
  <c r="F30" i="3"/>
  <c r="F31" i="3"/>
  <c r="F20" i="3"/>
  <c r="G175" i="3"/>
  <c r="G171" i="3"/>
  <c r="G169" i="3"/>
  <c r="G21" i="2" s="1"/>
  <c r="G168" i="3"/>
  <c r="G20" i="2" s="1"/>
  <c r="F172" i="3"/>
  <c r="F173" i="3"/>
  <c r="F174" i="3"/>
  <c r="F175" i="3"/>
  <c r="F169" i="3"/>
  <c r="F170" i="3"/>
  <c r="F171" i="3"/>
  <c r="F22" i="2" s="1"/>
  <c r="F168" i="3"/>
  <c r="F20" i="2" s="1"/>
  <c r="F163" i="3"/>
  <c r="F162" i="3"/>
  <c r="F146" i="3"/>
  <c r="F145" i="3"/>
  <c r="F135" i="3"/>
  <c r="F123" i="3"/>
  <c r="E35" i="3"/>
  <c r="E40" i="3"/>
  <c r="E46" i="3"/>
  <c r="E92" i="3"/>
  <c r="E98" i="3"/>
  <c r="E103" i="3"/>
  <c r="E114" i="3"/>
  <c r="E125" i="3"/>
  <c r="E131" i="3"/>
  <c r="E136" i="3"/>
  <c r="E147" i="3"/>
  <c r="E153" i="3"/>
  <c r="E164" i="3"/>
  <c r="E179" i="3"/>
  <c r="G16" i="2" l="1"/>
  <c r="D24" i="2"/>
  <c r="G15" i="2"/>
  <c r="F24" i="2"/>
  <c r="C24" i="2"/>
  <c r="H24" i="2"/>
  <c r="G24" i="2" s="1"/>
  <c r="C19" i="2"/>
  <c r="F83" i="3"/>
  <c r="D81" i="3"/>
  <c r="D11" i="2" s="1"/>
  <c r="D76" i="3"/>
  <c r="D69" i="3"/>
  <c r="D10" i="2" s="1"/>
  <c r="D61" i="3"/>
  <c r="D9" i="2" s="1"/>
  <c r="H50" i="3" l="1"/>
  <c r="H8" i="2" s="1"/>
  <c r="D22" i="1"/>
  <c r="D50" i="3"/>
  <c r="D8" i="2" s="1"/>
  <c r="G8" i="2" l="1"/>
  <c r="G50" i="3"/>
  <c r="M10" i="1" l="1"/>
  <c r="M9" i="1"/>
  <c r="C40" i="3"/>
  <c r="D40" i="3"/>
  <c r="F39" i="3"/>
  <c r="F40" i="3" s="1"/>
  <c r="H40" i="3"/>
  <c r="C67" i="4"/>
  <c r="D67" i="4"/>
  <c r="F314" i="5"/>
  <c r="F317" i="5"/>
  <c r="F280" i="5"/>
  <c r="J117" i="5"/>
  <c r="J118" i="5"/>
  <c r="J119" i="5"/>
  <c r="J120" i="5"/>
  <c r="E24" i="5" l="1"/>
  <c r="H69" i="3"/>
  <c r="F392" i="6"/>
  <c r="H220" i="5" s="1"/>
  <c r="F220" i="5" s="1"/>
  <c r="F76" i="6" l="1"/>
  <c r="F471" i="6"/>
  <c r="F61" i="5" l="1"/>
  <c r="F65" i="5"/>
  <c r="F67" i="5"/>
  <c r="F68" i="5"/>
  <c r="D74" i="4" l="1"/>
  <c r="M18" i="1"/>
  <c r="M14" i="1"/>
  <c r="M21" i="1"/>
  <c r="M20" i="1"/>
  <c r="F496" i="6"/>
  <c r="F315" i="5"/>
  <c r="H279" i="5"/>
  <c r="J279" i="5" s="1"/>
  <c r="H280" i="5"/>
  <c r="J280" i="5" s="1"/>
  <c r="H281" i="5"/>
  <c r="J281" i="5" s="1"/>
  <c r="H278" i="5"/>
  <c r="I278" i="5" s="1"/>
  <c r="E282" i="5"/>
  <c r="D230" i="5"/>
  <c r="E230" i="5"/>
  <c r="D225" i="5"/>
  <c r="E225" i="5"/>
  <c r="F188" i="5"/>
  <c r="H178" i="5"/>
  <c r="F178" i="5" s="1"/>
  <c r="J278" i="5" l="1"/>
  <c r="I279" i="5"/>
  <c r="F279" i="5"/>
  <c r="M16" i="1"/>
  <c r="H282" i="5"/>
  <c r="G496" i="6" s="1"/>
  <c r="F278" i="5"/>
  <c r="F281" i="5"/>
  <c r="I281" i="5"/>
  <c r="I280" i="5"/>
  <c r="E160" i="5"/>
  <c r="F137" i="5"/>
  <c r="H95" i="5"/>
  <c r="F95" i="5" s="1"/>
  <c r="F93" i="5"/>
  <c r="E76" i="5"/>
  <c r="M11" i="1" s="1"/>
  <c r="I122" i="5"/>
  <c r="I123" i="5"/>
  <c r="I124" i="5"/>
  <c r="I125" i="5"/>
  <c r="I126" i="5"/>
  <c r="I127" i="5"/>
  <c r="I128" i="5"/>
  <c r="I129" i="5"/>
  <c r="I130" i="5"/>
  <c r="I289" i="5"/>
  <c r="I290" i="5"/>
  <c r="I291" i="5"/>
  <c r="I295" i="5"/>
  <c r="I296" i="5"/>
  <c r="I297" i="5"/>
  <c r="C45" i="5"/>
  <c r="D45" i="5"/>
  <c r="E45" i="5"/>
  <c r="J11" i="5"/>
  <c r="J12" i="5"/>
  <c r="J13" i="5"/>
  <c r="J122" i="5"/>
  <c r="J123" i="5"/>
  <c r="J124" i="5"/>
  <c r="J125" i="5"/>
  <c r="J126" i="5"/>
  <c r="J127" i="5"/>
  <c r="J128" i="5"/>
  <c r="J129" i="5"/>
  <c r="J130" i="5"/>
  <c r="J289" i="5"/>
  <c r="J290" i="5"/>
  <c r="J291" i="5"/>
  <c r="J295" i="5"/>
  <c r="J296" i="5"/>
  <c r="J297" i="5"/>
  <c r="E17" i="5"/>
  <c r="C75" i="4"/>
  <c r="D75" i="4"/>
  <c r="F42" i="5"/>
  <c r="H41" i="5"/>
  <c r="H55" i="5"/>
  <c r="H75" i="4" s="1"/>
  <c r="P20" i="1" s="1"/>
  <c r="N20" i="1" s="1"/>
  <c r="D87" i="3"/>
  <c r="D32" i="2"/>
  <c r="E32" i="2"/>
  <c r="H32" i="2"/>
  <c r="C42" i="2"/>
  <c r="D42" i="2"/>
  <c r="E42" i="2"/>
  <c r="E17" i="1" s="1"/>
  <c r="C38" i="2"/>
  <c r="D38" i="2"/>
  <c r="E38" i="2"/>
  <c r="C37" i="2"/>
  <c r="D37" i="2"/>
  <c r="E37" i="2"/>
  <c r="G37" i="2"/>
  <c r="C35" i="2"/>
  <c r="D35" i="2"/>
  <c r="E35" i="2"/>
  <c r="C33" i="2"/>
  <c r="D33" i="2"/>
  <c r="E33" i="2"/>
  <c r="C32" i="2"/>
  <c r="C31" i="2"/>
  <c r="D31" i="2"/>
  <c r="E31" i="2"/>
  <c r="C30" i="2"/>
  <c r="D30" i="2"/>
  <c r="E30" i="2"/>
  <c r="C29" i="2"/>
  <c r="D29" i="2"/>
  <c r="E29" i="2"/>
  <c r="C28" i="2"/>
  <c r="D28" i="2"/>
  <c r="E28" i="2"/>
  <c r="C26" i="2"/>
  <c r="D26" i="2"/>
  <c r="E26" i="2"/>
  <c r="C25" i="2"/>
  <c r="D25" i="2"/>
  <c r="E25" i="2"/>
  <c r="G84" i="3"/>
  <c r="G82" i="3"/>
  <c r="G88" i="3"/>
  <c r="G87" i="3" s="1"/>
  <c r="F88" i="3"/>
  <c r="F86" i="3"/>
  <c r="F84" i="3"/>
  <c r="F82" i="3"/>
  <c r="F78" i="3"/>
  <c r="F79" i="3"/>
  <c r="F80" i="3"/>
  <c r="F77" i="3"/>
  <c r="F71" i="3"/>
  <c r="F72" i="3"/>
  <c r="F73" i="3"/>
  <c r="F74" i="3"/>
  <c r="F70" i="3"/>
  <c r="F63" i="3"/>
  <c r="F64" i="3"/>
  <c r="F65" i="3"/>
  <c r="F66" i="3"/>
  <c r="F67" i="3"/>
  <c r="F68" i="3"/>
  <c r="F62" i="3"/>
  <c r="F52" i="3"/>
  <c r="F53" i="3"/>
  <c r="F54" i="3"/>
  <c r="F55" i="3"/>
  <c r="F56" i="3"/>
  <c r="F57" i="3"/>
  <c r="F58" i="3"/>
  <c r="F59" i="3"/>
  <c r="F60" i="3"/>
  <c r="F51" i="3"/>
  <c r="G129" i="3"/>
  <c r="G131" i="3" s="1"/>
  <c r="D125" i="3"/>
  <c r="H125" i="3"/>
  <c r="F87" i="3" l="1"/>
  <c r="F13" i="2"/>
  <c r="C41" i="2"/>
  <c r="E41" i="2"/>
  <c r="E16" i="1" s="1"/>
  <c r="E34" i="2"/>
  <c r="E13" i="1" s="1"/>
  <c r="G27" i="2"/>
  <c r="D41" i="2"/>
  <c r="E12" i="1"/>
  <c r="D34" i="2"/>
  <c r="C34" i="2"/>
  <c r="F282" i="5"/>
  <c r="I95" i="5"/>
  <c r="J95" i="5"/>
  <c r="I41" i="5"/>
  <c r="J41" i="5"/>
  <c r="J55" i="5"/>
  <c r="I55" i="5"/>
  <c r="F41" i="5"/>
  <c r="F55" i="5"/>
  <c r="D35" i="3" l="1"/>
  <c r="C35" i="3"/>
  <c r="G34" i="3"/>
  <c r="G16" i="3"/>
  <c r="G15" i="3"/>
  <c r="G20" i="3"/>
  <c r="C131" i="3"/>
  <c r="D131" i="3"/>
  <c r="H131" i="3"/>
  <c r="F130" i="3"/>
  <c r="F129" i="3"/>
  <c r="F124" i="3"/>
  <c r="F131" i="3" l="1"/>
  <c r="L39" i="3"/>
  <c r="M12" i="1"/>
  <c r="M15" i="1" s="1"/>
  <c r="M22" i="1" s="1"/>
  <c r="M13" i="1"/>
  <c r="D321" i="5"/>
  <c r="E321" i="5"/>
  <c r="D310" i="5"/>
  <c r="E310" i="5"/>
  <c r="D288" i="5"/>
  <c r="E288" i="5"/>
  <c r="D274" i="5"/>
  <c r="E274" i="5"/>
  <c r="D253" i="5"/>
  <c r="E253" i="5"/>
  <c r="D197" i="5"/>
  <c r="E197" i="5"/>
  <c r="D168" i="5"/>
  <c r="E168" i="5"/>
  <c r="D160" i="5"/>
  <c r="D149" i="5"/>
  <c r="E149" i="5"/>
  <c r="D141" i="5"/>
  <c r="E141" i="5"/>
  <c r="D121" i="5"/>
  <c r="E121" i="5"/>
  <c r="D111" i="5"/>
  <c r="E111" i="5"/>
  <c r="D105" i="5"/>
  <c r="E105" i="5"/>
  <c r="D99" i="5"/>
  <c r="E99" i="5"/>
  <c r="D86" i="5"/>
  <c r="E86" i="5"/>
  <c r="D71" i="5"/>
  <c r="E71" i="5"/>
  <c r="D50" i="5"/>
  <c r="E50" i="5"/>
  <c r="C50" i="5"/>
  <c r="D38" i="5"/>
  <c r="E38" i="5"/>
  <c r="C38" i="5"/>
  <c r="D19" i="5"/>
  <c r="E19" i="5"/>
  <c r="C19" i="5"/>
  <c r="D17" i="5"/>
  <c r="C17" i="5"/>
  <c r="H18" i="5"/>
  <c r="L15" i="1"/>
  <c r="L22" i="1" s="1"/>
  <c r="D15" i="1"/>
  <c r="E11" i="1"/>
  <c r="E10" i="1"/>
  <c r="E9" i="1"/>
  <c r="D46" i="3"/>
  <c r="H81" i="3"/>
  <c r="H11" i="2" s="1"/>
  <c r="G11" i="2" s="1"/>
  <c r="D179" i="3"/>
  <c r="D164" i="3"/>
  <c r="D153" i="3"/>
  <c r="D147" i="3"/>
  <c r="D136" i="3"/>
  <c r="D114" i="3"/>
  <c r="D103" i="3"/>
  <c r="D98" i="3"/>
  <c r="D85" i="3"/>
  <c r="D12" i="2" s="1"/>
  <c r="D14" i="2" s="1"/>
  <c r="E15" i="1" l="1"/>
  <c r="E22" i="1" s="1"/>
  <c r="D92" i="3"/>
  <c r="D44" i="2"/>
  <c r="E44" i="2"/>
  <c r="D80" i="4"/>
  <c r="E56" i="5"/>
  <c r="E323" i="5" s="1"/>
  <c r="C56" i="5"/>
  <c r="D56" i="5"/>
  <c r="I18" i="5"/>
  <c r="J18" i="5"/>
  <c r="H19" i="5"/>
  <c r="G19" i="5" s="1"/>
  <c r="G18" i="5"/>
  <c r="F18" i="5"/>
  <c r="G81" i="3"/>
  <c r="F81" i="3"/>
  <c r="F11" i="2" s="1"/>
  <c r="I166" i="6"/>
  <c r="I151" i="6"/>
  <c r="I152" i="6"/>
  <c r="I146" i="6"/>
  <c r="E48" i="2" l="1"/>
  <c r="D323" i="5"/>
  <c r="D83" i="4" s="1"/>
  <c r="D48" i="2"/>
  <c r="H191" i="5"/>
  <c r="H94" i="5"/>
  <c r="F191" i="5" l="1"/>
  <c r="G191" i="5"/>
  <c r="G94" i="5"/>
  <c r="F94" i="5"/>
  <c r="I94" i="5"/>
  <c r="J94" i="5"/>
  <c r="I191" i="5"/>
  <c r="J191" i="5"/>
  <c r="F460" i="6"/>
  <c r="F268" i="6"/>
  <c r="H159" i="5" s="1"/>
  <c r="F266" i="6"/>
  <c r="H158" i="5" s="1"/>
  <c r="F264" i="6"/>
  <c r="H157" i="5" s="1"/>
  <c r="F239" i="6"/>
  <c r="G158" i="5" l="1"/>
  <c r="F158" i="5"/>
  <c r="G159" i="5"/>
  <c r="F159" i="5"/>
  <c r="F157" i="5"/>
  <c r="G157" i="5"/>
  <c r="I159" i="5"/>
  <c r="J159" i="5"/>
  <c r="I158" i="5"/>
  <c r="J158" i="5"/>
  <c r="I157" i="5"/>
  <c r="J157" i="5"/>
  <c r="F187" i="6"/>
  <c r="H136" i="3" l="1"/>
  <c r="C136" i="3"/>
  <c r="G136" i="3"/>
  <c r="F136" i="3"/>
  <c r="H87" i="3"/>
  <c r="C87" i="3"/>
  <c r="H24" i="3"/>
  <c r="H35" i="3" l="1"/>
  <c r="F24" i="3"/>
  <c r="G35" i="3"/>
  <c r="G24" i="3"/>
  <c r="G35" i="2" s="1"/>
  <c r="H76" i="3"/>
  <c r="H10" i="2" s="1"/>
  <c r="G10" i="2" s="1"/>
  <c r="H61" i="3"/>
  <c r="H9" i="2" s="1"/>
  <c r="H500" i="6"/>
  <c r="F207" i="6"/>
  <c r="G9" i="2" l="1"/>
  <c r="F76" i="3"/>
  <c r="G76" i="3"/>
  <c r="F50" i="3"/>
  <c r="F8" i="2" s="1"/>
  <c r="G69" i="3"/>
  <c r="F69" i="3"/>
  <c r="F10" i="2" s="1"/>
  <c r="G61" i="3"/>
  <c r="F61" i="3"/>
  <c r="F9" i="2" s="1"/>
  <c r="F344" i="6"/>
  <c r="F347" i="6"/>
  <c r="F340" i="6"/>
  <c r="F261" i="6" l="1"/>
  <c r="H156" i="5" s="1"/>
  <c r="F257" i="6"/>
  <c r="H155" i="5" s="1"/>
  <c r="F255" i="6"/>
  <c r="H154" i="5" s="1"/>
  <c r="F154" i="5" l="1"/>
  <c r="G154" i="5"/>
  <c r="F155" i="5"/>
  <c r="G155" i="5"/>
  <c r="G156" i="5"/>
  <c r="F156" i="5"/>
  <c r="I154" i="5"/>
  <c r="J154" i="5"/>
  <c r="I155" i="5"/>
  <c r="J155" i="5"/>
  <c r="I156" i="5"/>
  <c r="J156" i="5"/>
  <c r="F253" i="6"/>
  <c r="F274" i="6" s="1"/>
  <c r="H153" i="5" l="1"/>
  <c r="F339" i="6"/>
  <c r="H109" i="5"/>
  <c r="G109" i="5" l="1"/>
  <c r="F109" i="5"/>
  <c r="G153" i="5"/>
  <c r="F153" i="5"/>
  <c r="I109" i="5"/>
  <c r="J109" i="5"/>
  <c r="H160" i="5"/>
  <c r="G160" i="5" s="1"/>
  <c r="I153" i="5"/>
  <c r="J153" i="5"/>
  <c r="C153" i="3"/>
  <c r="C81" i="3"/>
  <c r="H303" i="5"/>
  <c r="F303" i="5" s="1"/>
  <c r="H304" i="5"/>
  <c r="F304" i="5" s="1"/>
  <c r="C149" i="5"/>
  <c r="J160" i="5" l="1"/>
  <c r="I160" i="5"/>
  <c r="H25" i="2"/>
  <c r="G25" i="2" s="1"/>
  <c r="H29" i="2"/>
  <c r="G29" i="2" s="1"/>
  <c r="H26" i="2"/>
  <c r="G26" i="2" s="1"/>
  <c r="G111" i="6" l="1"/>
  <c r="I471" i="6"/>
  <c r="I318" i="6"/>
  <c r="I319" i="6"/>
  <c r="F147" i="6" l="1"/>
  <c r="I147" i="6" s="1"/>
  <c r="F148" i="6"/>
  <c r="I148" i="6" s="1"/>
  <c r="J535" i="6"/>
  <c r="J529" i="6"/>
  <c r="I483" i="6"/>
  <c r="F152" i="3" l="1"/>
  <c r="F151" i="3"/>
  <c r="H153" i="3"/>
  <c r="F153" i="3" l="1"/>
  <c r="F327" i="6"/>
  <c r="F95" i="6"/>
  <c r="F98" i="6" s="1"/>
  <c r="F114" i="6" l="1"/>
  <c r="F521" i="6" l="1"/>
  <c r="F520" i="6" s="1"/>
  <c r="C523" i="6" s="1"/>
  <c r="F461" i="6"/>
  <c r="F450" i="6"/>
  <c r="F456" i="6"/>
  <c r="F455" i="6"/>
  <c r="F445" i="6"/>
  <c r="F446" i="6"/>
  <c r="F448" i="6"/>
  <c r="F447" i="6"/>
  <c r="F366" i="6"/>
  <c r="F371" i="6"/>
  <c r="F370" i="6"/>
  <c r="F358" i="6"/>
  <c r="H202" i="5" s="1"/>
  <c r="F357" i="6"/>
  <c r="F302" i="6"/>
  <c r="F300" i="6"/>
  <c r="F298" i="6" s="1"/>
  <c r="F296" i="6"/>
  <c r="F295" i="6"/>
  <c r="F288" i="6"/>
  <c r="F287" i="6"/>
  <c r="J354" i="6"/>
  <c r="K335" i="6"/>
  <c r="K130" i="6"/>
  <c r="K233" i="6"/>
  <c r="K279" i="6"/>
  <c r="G202" i="5" l="1"/>
  <c r="F202" i="5"/>
  <c r="J202" i="5"/>
  <c r="F459" i="6"/>
  <c r="H261" i="5" s="1"/>
  <c r="F454" i="6"/>
  <c r="F261" i="5" l="1"/>
  <c r="G261" i="5"/>
  <c r="I261" i="5"/>
  <c r="J261" i="5"/>
  <c r="F206" i="6"/>
  <c r="F205" i="6"/>
  <c r="F204" i="6" l="1"/>
  <c r="F215" i="6" s="1"/>
  <c r="F235" i="6"/>
  <c r="F134" i="6"/>
  <c r="F135" i="6"/>
  <c r="F84" i="6"/>
  <c r="F81" i="6"/>
  <c r="F82" i="6"/>
  <c r="F83" i="6"/>
  <c r="I72" i="6"/>
  <c r="I73" i="6"/>
  <c r="I71" i="6"/>
  <c r="F404" i="6" l="1"/>
  <c r="F403" i="6"/>
  <c r="H186" i="5"/>
  <c r="F77" i="6"/>
  <c r="I77" i="6" s="1"/>
  <c r="I75" i="6"/>
  <c r="I79" i="6"/>
  <c r="C34" i="6"/>
  <c r="F29" i="6"/>
  <c r="F28" i="6"/>
  <c r="F27" i="6"/>
  <c r="F19" i="6"/>
  <c r="F18" i="6"/>
  <c r="F20" i="6"/>
  <c r="F24" i="6"/>
  <c r="F23" i="6"/>
  <c r="F22" i="6"/>
  <c r="F21" i="6"/>
  <c r="F17" i="6"/>
  <c r="F16" i="6"/>
  <c r="F232" i="6"/>
  <c r="F60" i="6"/>
  <c r="F56" i="6"/>
  <c r="F57" i="6"/>
  <c r="H264" i="5"/>
  <c r="F317" i="6"/>
  <c r="F279" i="6"/>
  <c r="F149" i="6"/>
  <c r="I149" i="6" s="1"/>
  <c r="F54" i="6"/>
  <c r="F53" i="6"/>
  <c r="F52" i="6"/>
  <c r="F384" i="6"/>
  <c r="F50" i="6"/>
  <c r="F382" i="6"/>
  <c r="F316" i="6"/>
  <c r="F315" i="6" s="1"/>
  <c r="F48" i="6"/>
  <c r="F46" i="6"/>
  <c r="F37" i="6"/>
  <c r="F38" i="6"/>
  <c r="M36" i="3"/>
  <c r="F186" i="5" l="1"/>
  <c r="G186" i="5"/>
  <c r="G264" i="5"/>
  <c r="F264" i="5"/>
  <c r="I186" i="5"/>
  <c r="J186" i="5"/>
  <c r="I264" i="5"/>
  <c r="J264" i="5"/>
  <c r="F405" i="6"/>
  <c r="H229" i="5" s="1"/>
  <c r="F150" i="6"/>
  <c r="F157" i="6" s="1"/>
  <c r="G229" i="5" l="1"/>
  <c r="I229" i="5"/>
  <c r="J229" i="5"/>
  <c r="F322" i="6"/>
  <c r="C43" i="2"/>
  <c r="G43" i="2"/>
  <c r="C85" i="3"/>
  <c r="C50" i="3"/>
  <c r="C72" i="4"/>
  <c r="C462" i="6" l="1"/>
  <c r="H43" i="5" l="1"/>
  <c r="H43" i="2"/>
  <c r="I43" i="5" l="1"/>
  <c r="J43" i="5"/>
  <c r="F43" i="5"/>
  <c r="G43" i="5"/>
  <c r="H104" i="5"/>
  <c r="H85" i="3"/>
  <c r="H12" i="2" s="1"/>
  <c r="H14" i="2" s="1"/>
  <c r="G14" i="2" s="1"/>
  <c r="F85" i="3" l="1"/>
  <c r="F12" i="2" s="1"/>
  <c r="F14" i="2" s="1"/>
  <c r="H92" i="3"/>
  <c r="G92" i="3" s="1"/>
  <c r="F104" i="5"/>
  <c r="G104" i="5"/>
  <c r="I104" i="5"/>
  <c r="J104" i="5"/>
  <c r="H177" i="5"/>
  <c r="F369" i="6"/>
  <c r="C375" i="6" s="1"/>
  <c r="F177" i="5" l="1"/>
  <c r="G177" i="5"/>
  <c r="I177" i="5"/>
  <c r="J177" i="5"/>
  <c r="F372" i="6"/>
  <c r="K53" i="3" l="1"/>
  <c r="L52" i="3" s="1"/>
  <c r="K48" i="3"/>
  <c r="L48" i="3" s="1"/>
  <c r="F522" i="6" l="1"/>
  <c r="I230" i="6" l="1"/>
  <c r="F234" i="6"/>
  <c r="I236" i="6"/>
  <c r="H91" i="5" l="1"/>
  <c r="G91" i="5" l="1"/>
  <c r="F91" i="5"/>
  <c r="I91" i="5"/>
  <c r="J91" i="5"/>
  <c r="F200" i="6"/>
  <c r="H34" i="5" l="1"/>
  <c r="I87" i="6"/>
  <c r="I85" i="6"/>
  <c r="I86" i="6"/>
  <c r="I89" i="6"/>
  <c r="I34" i="5" l="1"/>
  <c r="J34" i="5"/>
  <c r="F34" i="5"/>
  <c r="G34" i="5"/>
  <c r="F88" i="6"/>
  <c r="I88" i="6" s="1"/>
  <c r="I70" i="6"/>
  <c r="I69" i="6"/>
  <c r="I65" i="6"/>
  <c r="I66" i="6"/>
  <c r="I67" i="6"/>
  <c r="H33" i="5" l="1"/>
  <c r="F33" i="5" s="1"/>
  <c r="F34" i="6"/>
  <c r="H110" i="5"/>
  <c r="I328" i="6"/>
  <c r="I327" i="6"/>
  <c r="I322" i="6"/>
  <c r="I321" i="6"/>
  <c r="I320" i="6"/>
  <c r="I316" i="6"/>
  <c r="I323" i="6"/>
  <c r="I324" i="6"/>
  <c r="I325" i="6"/>
  <c r="I330" i="6"/>
  <c r="I331" i="6"/>
  <c r="I311" i="6"/>
  <c r="I312" i="6"/>
  <c r="I313" i="6"/>
  <c r="I314" i="6"/>
  <c r="I310" i="6"/>
  <c r="F309" i="6"/>
  <c r="C307" i="6"/>
  <c r="F307" i="6" s="1"/>
  <c r="F294" i="6"/>
  <c r="G110" i="5" l="1"/>
  <c r="F110" i="5"/>
  <c r="H77" i="4"/>
  <c r="G77" i="4" s="1"/>
  <c r="I110" i="5"/>
  <c r="J110" i="5"/>
  <c r="C306" i="6"/>
  <c r="F306" i="6" s="1"/>
  <c r="G24" i="6"/>
  <c r="F40" i="6"/>
  <c r="H20" i="5" s="1"/>
  <c r="F31" i="6"/>
  <c r="H185" i="5"/>
  <c r="H182" i="5"/>
  <c r="F326" i="6"/>
  <c r="H187" i="5" s="1"/>
  <c r="H183" i="5"/>
  <c r="F351" i="6" l="1"/>
  <c r="F187" i="5"/>
  <c r="G187" i="5"/>
  <c r="G182" i="5"/>
  <c r="F182" i="5"/>
  <c r="F183" i="5"/>
  <c r="G183" i="5"/>
  <c r="F185" i="5"/>
  <c r="G185" i="5"/>
  <c r="I183" i="5"/>
  <c r="J183" i="5"/>
  <c r="I20" i="5"/>
  <c r="J20" i="5"/>
  <c r="I185" i="5"/>
  <c r="J185" i="5"/>
  <c r="I187" i="5"/>
  <c r="J187" i="5"/>
  <c r="I182" i="5"/>
  <c r="J182" i="5"/>
  <c r="F20" i="5"/>
  <c r="G20" i="5"/>
  <c r="I326" i="6"/>
  <c r="I332" i="6" s="1"/>
  <c r="H307" i="5" l="1"/>
  <c r="H305" i="5"/>
  <c r="F305" i="5" s="1"/>
  <c r="H217" i="5"/>
  <c r="F386" i="6"/>
  <c r="H386" i="6" s="1"/>
  <c r="H385" i="6"/>
  <c r="H389" i="6"/>
  <c r="H390" i="6"/>
  <c r="H384" i="6"/>
  <c r="H382" i="6"/>
  <c r="H377" i="6"/>
  <c r="C374" i="6"/>
  <c r="F374" i="6" s="1"/>
  <c r="F479" i="6"/>
  <c r="I476" i="6"/>
  <c r="F475" i="6"/>
  <c r="F307" i="5" l="1"/>
  <c r="G307" i="5"/>
  <c r="F217" i="5"/>
  <c r="G217" i="5"/>
  <c r="I217" i="5"/>
  <c r="J217" i="5"/>
  <c r="I307" i="5"/>
  <c r="J307" i="5"/>
  <c r="F527" i="6"/>
  <c r="H306" i="5"/>
  <c r="C524" i="6"/>
  <c r="E524" i="6" s="1"/>
  <c r="H216" i="5"/>
  <c r="F381" i="6"/>
  <c r="F383" i="6"/>
  <c r="I466" i="6"/>
  <c r="I468" i="6"/>
  <c r="I467" i="6"/>
  <c r="I474" i="6"/>
  <c r="I478" i="6"/>
  <c r="I479" i="6"/>
  <c r="I481" i="6"/>
  <c r="I469" i="6"/>
  <c r="C463" i="6"/>
  <c r="E463" i="6" s="1"/>
  <c r="G306" i="5" l="1"/>
  <c r="F306" i="5"/>
  <c r="G216" i="5"/>
  <c r="F216" i="5"/>
  <c r="I216" i="5"/>
  <c r="J216" i="5"/>
  <c r="I306" i="5"/>
  <c r="J306" i="5"/>
  <c r="G447" i="6"/>
  <c r="F463" i="6"/>
  <c r="G463" i="6" s="1"/>
  <c r="C61" i="3" l="1"/>
  <c r="C69" i="3"/>
  <c r="C76" i="3"/>
  <c r="C86" i="5"/>
  <c r="H174" i="5"/>
  <c r="C29" i="8"/>
  <c r="J25" i="7"/>
  <c r="J24" i="7"/>
  <c r="H24" i="7"/>
  <c r="F24" i="7"/>
  <c r="J21" i="7"/>
  <c r="H21" i="7"/>
  <c r="F21" i="7"/>
  <c r="J20" i="7"/>
  <c r="H20" i="7"/>
  <c r="F20" i="7"/>
  <c r="J19" i="7"/>
  <c r="J18" i="7"/>
  <c r="H18" i="7"/>
  <c r="F18" i="7"/>
  <c r="J17" i="7"/>
  <c r="F17" i="7"/>
  <c r="J16" i="7"/>
  <c r="F174" i="5" l="1"/>
  <c r="G174" i="5"/>
  <c r="I174" i="5"/>
  <c r="J174" i="5"/>
  <c r="C92" i="3"/>
  <c r="J14" i="7"/>
  <c r="J13" i="7"/>
  <c r="H13" i="7"/>
  <c r="G13" i="7"/>
  <c r="F13" i="7"/>
  <c r="J12" i="7"/>
  <c r="H12" i="7"/>
  <c r="F12" i="7"/>
  <c r="J11" i="7"/>
  <c r="J9" i="7"/>
  <c r="F51" i="6" l="1"/>
  <c r="H23" i="5" s="1"/>
  <c r="I23" i="5" l="1"/>
  <c r="J23" i="5"/>
  <c r="F23" i="5"/>
  <c r="G23" i="5"/>
  <c r="F417" i="6"/>
  <c r="I84" i="6" l="1"/>
  <c r="C410" i="6"/>
  <c r="E410" i="6" s="1"/>
  <c r="F440" i="6"/>
  <c r="H117" i="6"/>
  <c r="J117" i="6" s="1"/>
  <c r="C16" i="8" l="1"/>
  <c r="G163" i="3"/>
  <c r="G162" i="3"/>
  <c r="G146" i="3"/>
  <c r="G145" i="3"/>
  <c r="G113" i="3"/>
  <c r="G112" i="3"/>
  <c r="G102" i="3"/>
  <c r="G97" i="3"/>
  <c r="G44" i="3"/>
  <c r="G45" i="3"/>
  <c r="G32" i="2" s="1"/>
  <c r="G22" i="3"/>
  <c r="H260" i="5"/>
  <c r="G260" i="5" l="1"/>
  <c r="F260" i="5"/>
  <c r="I260" i="5"/>
  <c r="J260" i="5"/>
  <c r="E523" i="6"/>
  <c r="H236" i="5" l="1"/>
  <c r="C236" i="5"/>
  <c r="F107" i="3" l="1"/>
  <c r="F19" i="1"/>
  <c r="F40" i="2"/>
  <c r="F176" i="3"/>
  <c r="F177" i="3"/>
  <c r="F178" i="3"/>
  <c r="F157" i="3"/>
  <c r="F140" i="3"/>
  <c r="F18" i="2" s="1"/>
  <c r="F19" i="2" s="1"/>
  <c r="F125" i="3"/>
  <c r="F118" i="3"/>
  <c r="F102" i="3"/>
  <c r="F15" i="2" s="1"/>
  <c r="F16" i="2" s="1"/>
  <c r="F97" i="3"/>
  <c r="F42" i="2" s="1"/>
  <c r="F90" i="3"/>
  <c r="F91" i="3"/>
  <c r="F43" i="2" s="1"/>
  <c r="F89" i="3"/>
  <c r="F45" i="3"/>
  <c r="F32" i="2" s="1"/>
  <c r="F44" i="3"/>
  <c r="F32" i="3"/>
  <c r="F37" i="2" s="1"/>
  <c r="F33" i="3"/>
  <c r="F34" i="3"/>
  <c r="F38" i="2" s="1"/>
  <c r="F25" i="2"/>
  <c r="F26" i="2"/>
  <c r="F18" i="3"/>
  <c r="F19" i="3"/>
  <c r="F30" i="2"/>
  <c r="F21" i="3"/>
  <c r="F31" i="2" s="1"/>
  <c r="F22" i="3"/>
  <c r="F33" i="2" s="1"/>
  <c r="F23" i="3"/>
  <c r="F10" i="3"/>
  <c r="F242" i="5"/>
  <c r="F146" i="5"/>
  <c r="F145" i="5"/>
  <c r="C19" i="1"/>
  <c r="C18" i="1"/>
  <c r="C17" i="1"/>
  <c r="C11" i="1"/>
  <c r="C10" i="1"/>
  <c r="F28" i="2" l="1"/>
  <c r="F29" i="2"/>
  <c r="F92" i="3"/>
  <c r="F46" i="3"/>
  <c r="C13" i="1"/>
  <c r="C16" i="1"/>
  <c r="C12" i="1"/>
  <c r="H28" i="2"/>
  <c r="G28" i="2" s="1"/>
  <c r="H33" i="2"/>
  <c r="G33" i="2" s="1"/>
  <c r="H31" i="2"/>
  <c r="H30" i="2"/>
  <c r="G30" i="2" s="1"/>
  <c r="H179" i="3"/>
  <c r="G179" i="3" s="1"/>
  <c r="C74" i="4"/>
  <c r="K20" i="1" s="1"/>
  <c r="C76" i="4"/>
  <c r="C79" i="4"/>
  <c r="K17" i="1" s="1"/>
  <c r="C78" i="4"/>
  <c r="K18" i="1" s="1"/>
  <c r="C77" i="4"/>
  <c r="K14" i="1" s="1"/>
  <c r="C71" i="4"/>
  <c r="C70" i="4"/>
  <c r="C69" i="4"/>
  <c r="C68" i="4"/>
  <c r="C66" i="4"/>
  <c r="C65" i="4"/>
  <c r="C179" i="3"/>
  <c r="C321" i="5"/>
  <c r="C310" i="5"/>
  <c r="C294" i="5"/>
  <c r="C164" i="3"/>
  <c r="C288" i="5"/>
  <c r="J22" i="7" s="1"/>
  <c r="C158" i="3"/>
  <c r="C282" i="5"/>
  <c r="C147" i="3"/>
  <c r="C274" i="5"/>
  <c r="C253" i="5"/>
  <c r="C248" i="5"/>
  <c r="C230" i="5"/>
  <c r="C225" i="5"/>
  <c r="C125" i="3"/>
  <c r="C197" i="5"/>
  <c r="C168" i="5"/>
  <c r="C160" i="5"/>
  <c r="C114" i="3"/>
  <c r="C141" i="5"/>
  <c r="C121" i="5"/>
  <c r="C111" i="5"/>
  <c r="F34" i="2" l="1"/>
  <c r="C9" i="1"/>
  <c r="C15" i="1" s="1"/>
  <c r="C22" i="1" s="1"/>
  <c r="C44" i="2"/>
  <c r="K13" i="1"/>
  <c r="K10" i="1"/>
  <c r="K12" i="1"/>
  <c r="C73" i="4"/>
  <c r="K16" i="1" s="1"/>
  <c r="K21" i="1"/>
  <c r="H221" i="5"/>
  <c r="F221" i="5" s="1"/>
  <c r="H35" i="5"/>
  <c r="H44" i="5"/>
  <c r="K9" i="1" l="1"/>
  <c r="C80" i="4"/>
  <c r="I35" i="5"/>
  <c r="J35" i="5"/>
  <c r="F44" i="5"/>
  <c r="G44" i="5"/>
  <c r="F35" i="5"/>
  <c r="G35" i="5"/>
  <c r="H46" i="3"/>
  <c r="H98" i="3"/>
  <c r="H114" i="3"/>
  <c r="G114" i="3" s="1"/>
  <c r="H147" i="3"/>
  <c r="H164" i="3"/>
  <c r="G164" i="3" s="1"/>
  <c r="H181" i="5"/>
  <c r="G147" i="3" l="1"/>
  <c r="F181" i="5"/>
  <c r="G181" i="5"/>
  <c r="I181" i="5"/>
  <c r="J181" i="5"/>
  <c r="F249" i="6"/>
  <c r="F55" i="6"/>
  <c r="F49" i="6"/>
  <c r="H22" i="5" s="1"/>
  <c r="F45" i="6"/>
  <c r="H21" i="5" l="1"/>
  <c r="I22" i="5"/>
  <c r="J22" i="5"/>
  <c r="F22" i="5"/>
  <c r="G22" i="5"/>
  <c r="F470" i="6"/>
  <c r="F488" i="6" s="1"/>
  <c r="I62" i="6"/>
  <c r="F282" i="6"/>
  <c r="I269" i="6"/>
  <c r="I270" i="6"/>
  <c r="I268" i="6"/>
  <c r="I163" i="6"/>
  <c r="I164" i="6"/>
  <c r="I168" i="6"/>
  <c r="I161" i="6"/>
  <c r="I21" i="5" l="1"/>
  <c r="G21" i="5"/>
  <c r="J21" i="5"/>
  <c r="F21" i="5"/>
  <c r="I153" i="6"/>
  <c r="I482" i="6"/>
  <c r="I484" i="6" s="1"/>
  <c r="H266" i="5"/>
  <c r="I273" i="6"/>
  <c r="C281" i="6"/>
  <c r="I64" i="6"/>
  <c r="I68" i="6"/>
  <c r="G266" i="5" l="1"/>
  <c r="F266" i="5"/>
  <c r="I266" i="5"/>
  <c r="J266" i="5"/>
  <c r="I229" i="6"/>
  <c r="I231" i="6"/>
  <c r="F233" i="6"/>
  <c r="F241" i="6" s="1"/>
  <c r="I82" i="6"/>
  <c r="I83" i="6"/>
  <c r="I57" i="6"/>
  <c r="F63" i="6"/>
  <c r="I61" i="6"/>
  <c r="I58" i="6"/>
  <c r="I50" i="6"/>
  <c r="I48" i="6"/>
  <c r="I52" i="6"/>
  <c r="I53" i="6"/>
  <c r="I54" i="6"/>
  <c r="I76" i="6"/>
  <c r="I39" i="6"/>
  <c r="I41" i="6"/>
  <c r="I42" i="6"/>
  <c r="I43" i="6"/>
  <c r="I44" i="6"/>
  <c r="I47" i="6"/>
  <c r="I37" i="6"/>
  <c r="F128" i="6"/>
  <c r="C237" i="6" l="1"/>
  <c r="I56" i="6"/>
  <c r="F59" i="6"/>
  <c r="I38" i="6"/>
  <c r="F80" i="6"/>
  <c r="H31" i="5" s="1"/>
  <c r="I235" i="6"/>
  <c r="I60" i="6"/>
  <c r="I232" i="6"/>
  <c r="I81" i="6"/>
  <c r="F378" i="6"/>
  <c r="F399" i="6" s="1"/>
  <c r="F35" i="3" l="1"/>
  <c r="F35" i="2"/>
  <c r="F41" i="2" s="1"/>
  <c r="I31" i="5"/>
  <c r="J31" i="5"/>
  <c r="F31" i="5"/>
  <c r="G31" i="5"/>
  <c r="I237" i="6"/>
  <c r="H378" i="6"/>
  <c r="K11" i="1" l="1"/>
  <c r="K15" i="1" s="1"/>
  <c r="K22" i="1" s="1"/>
  <c r="J10" i="7"/>
  <c r="G288" i="6" l="1"/>
  <c r="C105" i="5"/>
  <c r="C99" i="5"/>
  <c r="C71" i="5"/>
  <c r="J8" i="7"/>
  <c r="J26" i="7" s="1"/>
  <c r="H8" i="7"/>
  <c r="F8" i="7"/>
  <c r="F11" i="5"/>
  <c r="F39" i="5"/>
  <c r="F40" i="5"/>
  <c r="F54" i="5"/>
  <c r="C323" i="5" l="1"/>
  <c r="C83" i="4" s="1"/>
  <c r="H17" i="7" l="1"/>
  <c r="H26" i="7" s="1"/>
  <c r="F11" i="7"/>
  <c r="F26" i="7" s="1"/>
  <c r="F160" i="5"/>
  <c r="H85" i="5"/>
  <c r="H84" i="5"/>
  <c r="H83" i="5"/>
  <c r="F85" i="5" l="1"/>
  <c r="F83" i="5"/>
  <c r="F84" i="5"/>
  <c r="H66" i="4"/>
  <c r="H204" i="5" l="1"/>
  <c r="F204" i="5" s="1"/>
  <c r="H209" i="5" l="1"/>
  <c r="C413" i="6"/>
  <c r="E413" i="6" s="1"/>
  <c r="C416" i="6"/>
  <c r="E416" i="6" s="1"/>
  <c r="F543" i="6"/>
  <c r="H314" i="5"/>
  <c r="G314" i="5" l="1"/>
  <c r="F209" i="5"/>
  <c r="G209" i="5"/>
  <c r="I314" i="5"/>
  <c r="J314" i="5"/>
  <c r="I209" i="5"/>
  <c r="J209" i="5"/>
  <c r="C533" i="6"/>
  <c r="F165" i="6"/>
  <c r="C118" i="6"/>
  <c r="I80" i="6"/>
  <c r="I45" i="6"/>
  <c r="F13" i="6"/>
  <c r="I165" i="6" l="1"/>
  <c r="I171" i="6" s="1"/>
  <c r="C33" i="6" l="1"/>
  <c r="F33" i="6" s="1"/>
  <c r="G35" i="6" s="1"/>
  <c r="H119" i="3" l="1"/>
  <c r="F119" i="3"/>
  <c r="H224" i="5"/>
  <c r="F224" i="5" s="1"/>
  <c r="H223" i="5"/>
  <c r="F223" i="5" s="1"/>
  <c r="H222" i="5"/>
  <c r="F222" i="5" s="1"/>
  <c r="G24" i="7" l="1"/>
  <c r="I24" i="7"/>
  <c r="C103" i="3"/>
  <c r="C108" i="3"/>
  <c r="C98" i="3"/>
  <c r="C46" i="3"/>
  <c r="C48" i="2" l="1"/>
  <c r="H38" i="2"/>
  <c r="G38" i="2" s="1"/>
  <c r="H37" i="2"/>
  <c r="H34" i="2" l="1"/>
  <c r="G34" i="2" s="1"/>
  <c r="H267" i="5"/>
  <c r="F267" i="5" l="1"/>
  <c r="G267" i="5"/>
  <c r="I267" i="5"/>
  <c r="J267" i="5"/>
  <c r="H10" i="1"/>
  <c r="H247" i="5"/>
  <c r="H246" i="5"/>
  <c r="H158" i="3"/>
  <c r="G125" i="3"/>
  <c r="H108" i="3"/>
  <c r="G108" i="3"/>
  <c r="F108" i="3"/>
  <c r="H111" i="5"/>
  <c r="G111" i="5" s="1"/>
  <c r="F10" i="1" l="1"/>
  <c r="G10" i="1"/>
  <c r="G200" i="6"/>
  <c r="F246" i="5"/>
  <c r="F247" i="5"/>
  <c r="H35" i="2"/>
  <c r="F164" i="3"/>
  <c r="F158" i="3"/>
  <c r="H41" i="2" l="1"/>
  <c r="G41" i="2" s="1"/>
  <c r="H16" i="1" l="1"/>
  <c r="H318" i="5"/>
  <c r="F318" i="5" s="1"/>
  <c r="F16" i="1" l="1"/>
  <c r="G16" i="1"/>
  <c r="H319" i="5"/>
  <c r="H317" i="5"/>
  <c r="H316" i="5"/>
  <c r="H298" i="5"/>
  <c r="H309" i="5"/>
  <c r="F309" i="5" s="1"/>
  <c r="H308" i="5"/>
  <c r="H287" i="5"/>
  <c r="H286" i="5"/>
  <c r="F502" i="6"/>
  <c r="F316" i="5" l="1"/>
  <c r="G316" i="5"/>
  <c r="G287" i="5"/>
  <c r="F287" i="5"/>
  <c r="G319" i="5"/>
  <c r="F319" i="5"/>
  <c r="F308" i="5"/>
  <c r="F310" i="5" s="1"/>
  <c r="G317" i="5"/>
  <c r="G286" i="5"/>
  <c r="F286" i="5"/>
  <c r="I287" i="5"/>
  <c r="J287" i="5"/>
  <c r="I316" i="5"/>
  <c r="J316" i="5"/>
  <c r="I319" i="5"/>
  <c r="J319" i="5"/>
  <c r="I317" i="5"/>
  <c r="J317" i="5"/>
  <c r="I286" i="5"/>
  <c r="J286" i="5"/>
  <c r="F298" i="5"/>
  <c r="I298" i="5"/>
  <c r="J298" i="5"/>
  <c r="K24" i="7"/>
  <c r="H310" i="5"/>
  <c r="G310" i="5" s="1"/>
  <c r="K25" i="7"/>
  <c r="H259" i="5"/>
  <c r="F259" i="5" s="1"/>
  <c r="H258" i="5"/>
  <c r="E533" i="6"/>
  <c r="H288" i="5"/>
  <c r="G288" i="5" s="1"/>
  <c r="H245" i="5"/>
  <c r="H244" i="5"/>
  <c r="H243" i="5"/>
  <c r="H241" i="5"/>
  <c r="H240" i="5"/>
  <c r="K19" i="7"/>
  <c r="H213" i="5"/>
  <c r="H205" i="5"/>
  <c r="H206" i="5"/>
  <c r="F206" i="5" l="1"/>
  <c r="J206" i="5"/>
  <c r="F213" i="5"/>
  <c r="G213" i="5"/>
  <c r="F205" i="5"/>
  <c r="G205" i="5"/>
  <c r="G258" i="5"/>
  <c r="F258" i="5"/>
  <c r="I213" i="5"/>
  <c r="J213" i="5"/>
  <c r="I258" i="5"/>
  <c r="J258" i="5"/>
  <c r="I205" i="5"/>
  <c r="J205" i="5"/>
  <c r="G502" i="6"/>
  <c r="G527" i="6"/>
  <c r="K20" i="7"/>
  <c r="F244" i="5"/>
  <c r="F240" i="5"/>
  <c r="F245" i="5"/>
  <c r="F229" i="5"/>
  <c r="F241" i="5"/>
  <c r="F243" i="5"/>
  <c r="F288" i="5"/>
  <c r="K22" i="7"/>
  <c r="G20" i="7"/>
  <c r="I20" i="7"/>
  <c r="H248" i="5"/>
  <c r="G417" i="6" s="1"/>
  <c r="H230" i="5"/>
  <c r="H196" i="5"/>
  <c r="H195" i="5"/>
  <c r="H194" i="5"/>
  <c r="C347" i="6"/>
  <c r="H190" i="5"/>
  <c r="F190" i="5" s="1"/>
  <c r="H176" i="5"/>
  <c r="H164" i="5"/>
  <c r="F178" i="6"/>
  <c r="F225" i="6"/>
  <c r="E281" i="6"/>
  <c r="H148" i="5"/>
  <c r="H147" i="5"/>
  <c r="G147" i="5" s="1"/>
  <c r="G230" i="5" l="1"/>
  <c r="G405" i="6"/>
  <c r="F230" i="5"/>
  <c r="G176" i="5"/>
  <c r="F176" i="5"/>
  <c r="F195" i="5"/>
  <c r="G195" i="5"/>
  <c r="F196" i="5"/>
  <c r="F194" i="5"/>
  <c r="G194" i="5"/>
  <c r="G164" i="5"/>
  <c r="F164" i="5"/>
  <c r="J147" i="5"/>
  <c r="J148" i="5"/>
  <c r="I164" i="5"/>
  <c r="J164" i="5"/>
  <c r="I194" i="5"/>
  <c r="J194" i="5"/>
  <c r="I176" i="5"/>
  <c r="J176" i="5"/>
  <c r="I195" i="5"/>
  <c r="J195" i="5"/>
  <c r="H71" i="4"/>
  <c r="G71" i="4" s="1"/>
  <c r="F147" i="5"/>
  <c r="G148" i="5"/>
  <c r="F148" i="5"/>
  <c r="F248" i="5"/>
  <c r="I13" i="7"/>
  <c r="K13" i="7"/>
  <c r="H74" i="4"/>
  <c r="H120" i="5"/>
  <c r="F120" i="5" s="1"/>
  <c r="H119" i="5"/>
  <c r="F119" i="5" s="1"/>
  <c r="H115" i="5"/>
  <c r="C209" i="6"/>
  <c r="G209" i="6" s="1"/>
  <c r="H97" i="5"/>
  <c r="H82" i="5"/>
  <c r="H81" i="5"/>
  <c r="H80" i="5"/>
  <c r="H79" i="5"/>
  <c r="H78" i="5"/>
  <c r="H77" i="5"/>
  <c r="H48" i="5"/>
  <c r="H37" i="5"/>
  <c r="H36" i="5"/>
  <c r="H30" i="5"/>
  <c r="H27" i="5"/>
  <c r="G77" i="5" l="1"/>
  <c r="F77" i="5"/>
  <c r="G81" i="5"/>
  <c r="F81" i="5"/>
  <c r="G78" i="5"/>
  <c r="F78" i="5"/>
  <c r="G82" i="5"/>
  <c r="F82" i="5"/>
  <c r="G79" i="5"/>
  <c r="F79" i="5"/>
  <c r="F80" i="5"/>
  <c r="G80" i="5"/>
  <c r="G115" i="5"/>
  <c r="F115" i="5"/>
  <c r="F97" i="5"/>
  <c r="I27" i="5"/>
  <c r="J27" i="5"/>
  <c r="F48" i="5"/>
  <c r="I48" i="5"/>
  <c r="J48" i="5"/>
  <c r="I80" i="5"/>
  <c r="J80" i="5"/>
  <c r="I30" i="5"/>
  <c r="J30" i="5"/>
  <c r="I77" i="5"/>
  <c r="J77" i="5"/>
  <c r="I81" i="5"/>
  <c r="J81" i="5"/>
  <c r="G12" i="7"/>
  <c r="I115" i="5"/>
  <c r="J115" i="5"/>
  <c r="I36" i="5"/>
  <c r="J36" i="5"/>
  <c r="I78" i="5"/>
  <c r="J78" i="5"/>
  <c r="I82" i="5"/>
  <c r="J82" i="5"/>
  <c r="I37" i="5"/>
  <c r="J37" i="5"/>
  <c r="I79" i="5"/>
  <c r="J79" i="5"/>
  <c r="G27" i="5"/>
  <c r="F27" i="5"/>
  <c r="F30" i="5"/>
  <c r="G30" i="5"/>
  <c r="G36" i="5"/>
  <c r="F36" i="5"/>
  <c r="G37" i="5"/>
  <c r="F37" i="5"/>
  <c r="K10" i="7"/>
  <c r="F149" i="5"/>
  <c r="H76" i="5"/>
  <c r="H116" i="5"/>
  <c r="H76" i="4"/>
  <c r="G76" i="4" s="1"/>
  <c r="F76" i="5" l="1"/>
  <c r="G76" i="5"/>
  <c r="G116" i="5"/>
  <c r="F116" i="5"/>
  <c r="I76" i="5"/>
  <c r="J76" i="5"/>
  <c r="I12" i="7"/>
  <c r="I116" i="5"/>
  <c r="J116" i="5"/>
  <c r="H19" i="1"/>
  <c r="G98" i="3" l="1"/>
  <c r="F18" i="1" l="1"/>
  <c r="F179" i="3" l="1"/>
  <c r="F114" i="3"/>
  <c r="F147" i="3"/>
  <c r="E118" i="6"/>
  <c r="H18" i="1" l="1"/>
  <c r="H173" i="5" l="1"/>
  <c r="F173" i="5" l="1"/>
  <c r="G173" i="5"/>
  <c r="J173" i="5"/>
  <c r="F102" i="6"/>
  <c r="C240" i="6" l="1"/>
  <c r="H75" i="5" l="1"/>
  <c r="H69" i="5"/>
  <c r="F69" i="5" s="1"/>
  <c r="F75" i="5" l="1"/>
  <c r="F86" i="5" s="1"/>
  <c r="G75" i="5"/>
  <c r="J75" i="5"/>
  <c r="I75" i="5"/>
  <c r="H86" i="5"/>
  <c r="H78" i="4"/>
  <c r="G78" i="4" s="1"/>
  <c r="G157" i="6" l="1"/>
  <c r="I86" i="5"/>
  <c r="J86" i="5"/>
  <c r="G86" i="5"/>
  <c r="F169" i="6"/>
  <c r="F172" i="6" s="1"/>
  <c r="C141" i="6"/>
  <c r="H70" i="5" s="1"/>
  <c r="F70" i="5" s="1"/>
  <c r="F136" i="6"/>
  <c r="F142" i="6" s="1"/>
  <c r="C171" i="6" l="1"/>
  <c r="E171" i="6" s="1"/>
  <c r="E482" i="6"/>
  <c r="H92" i="5"/>
  <c r="H98" i="5"/>
  <c r="H96" i="5"/>
  <c r="C137" i="6"/>
  <c r="G92" i="5" l="1"/>
  <c r="F92" i="5"/>
  <c r="G96" i="5"/>
  <c r="F96" i="5"/>
  <c r="G98" i="5"/>
  <c r="F98" i="5"/>
  <c r="I92" i="5"/>
  <c r="J92" i="5"/>
  <c r="I96" i="5"/>
  <c r="J96" i="5"/>
  <c r="I98" i="5"/>
  <c r="J98" i="5"/>
  <c r="K11" i="7"/>
  <c r="F375" i="6"/>
  <c r="H79" i="4" l="1"/>
  <c r="H320" i="5" l="1"/>
  <c r="C512" i="6"/>
  <c r="F512" i="6" s="1"/>
  <c r="F507" i="6"/>
  <c r="H252" i="5"/>
  <c r="H391" i="6"/>
  <c r="C248" i="6"/>
  <c r="H64" i="5"/>
  <c r="H32" i="5"/>
  <c r="I59" i="6"/>
  <c r="I90" i="6" s="1"/>
  <c r="H15" i="5"/>
  <c r="H292" i="5"/>
  <c r="H273" i="5"/>
  <c r="F273" i="5" s="1"/>
  <c r="H272" i="5"/>
  <c r="F272" i="5" s="1"/>
  <c r="H270" i="5"/>
  <c r="H269" i="5"/>
  <c r="H268" i="5"/>
  <c r="H265" i="5"/>
  <c r="H263" i="5"/>
  <c r="H219" i="5"/>
  <c r="H218" i="5"/>
  <c r="H215" i="5"/>
  <c r="H214" i="5"/>
  <c r="H212" i="5"/>
  <c r="H211" i="5"/>
  <c r="H208" i="5"/>
  <c r="H207" i="5"/>
  <c r="H203" i="5"/>
  <c r="H201" i="5"/>
  <c r="H189" i="5"/>
  <c r="H184" i="5"/>
  <c r="H180" i="5"/>
  <c r="F180" i="5" s="1"/>
  <c r="H179" i="5"/>
  <c r="H166" i="5"/>
  <c r="H165" i="5"/>
  <c r="H138" i="5"/>
  <c r="H136" i="5"/>
  <c r="H134" i="5"/>
  <c r="H118" i="5"/>
  <c r="F118" i="5" s="1"/>
  <c r="H117" i="5"/>
  <c r="F117" i="5" s="1"/>
  <c r="H90" i="5"/>
  <c r="H66" i="5"/>
  <c r="H63" i="5"/>
  <c r="H62" i="5"/>
  <c r="F62" i="5" s="1"/>
  <c r="H60" i="5"/>
  <c r="H49" i="5"/>
  <c r="H47" i="5"/>
  <c r="H67" i="4" s="1"/>
  <c r="G67" i="4" s="1"/>
  <c r="H46" i="5"/>
  <c r="H29" i="5"/>
  <c r="H26" i="5"/>
  <c r="H25" i="5"/>
  <c r="H16" i="5"/>
  <c r="F13" i="5"/>
  <c r="P18" i="1"/>
  <c r="H141" i="3"/>
  <c r="F141" i="3"/>
  <c r="H103" i="3"/>
  <c r="G103" i="3"/>
  <c r="F103" i="3"/>
  <c r="F98" i="3"/>
  <c r="G46" i="3"/>
  <c r="H42" i="2"/>
  <c r="G42" i="2" s="1"/>
  <c r="N18" i="1" l="1"/>
  <c r="O18" i="1"/>
  <c r="H99" i="5"/>
  <c r="G90" i="5"/>
  <c r="F64" i="5"/>
  <c r="G64" i="5"/>
  <c r="G63" i="5"/>
  <c r="F63" i="5"/>
  <c r="G60" i="5"/>
  <c r="F60" i="5"/>
  <c r="G66" i="5"/>
  <c r="F66" i="5"/>
  <c r="F320" i="5"/>
  <c r="G320" i="5"/>
  <c r="H321" i="5"/>
  <c r="G321" i="5" s="1"/>
  <c r="G203" i="5"/>
  <c r="F203" i="5"/>
  <c r="G212" i="5"/>
  <c r="F212" i="5"/>
  <c r="F219" i="5"/>
  <c r="G219" i="5"/>
  <c r="F269" i="5"/>
  <c r="G269" i="5"/>
  <c r="J184" i="5"/>
  <c r="F184" i="5"/>
  <c r="F207" i="5"/>
  <c r="J207" i="5"/>
  <c r="G214" i="5"/>
  <c r="F214" i="5"/>
  <c r="F263" i="5"/>
  <c r="G263" i="5"/>
  <c r="I270" i="5"/>
  <c r="F270" i="5"/>
  <c r="J270" i="5"/>
  <c r="G189" i="5"/>
  <c r="F189" i="5"/>
  <c r="G208" i="5"/>
  <c r="F208" i="5"/>
  <c r="F215" i="5"/>
  <c r="G215" i="5"/>
  <c r="F265" i="5"/>
  <c r="G265" i="5"/>
  <c r="G179" i="5"/>
  <c r="F179" i="5"/>
  <c r="G201" i="5"/>
  <c r="F201" i="5"/>
  <c r="F211" i="5"/>
  <c r="G211" i="5"/>
  <c r="G218" i="5"/>
  <c r="F218" i="5"/>
  <c r="G268" i="5"/>
  <c r="F268" i="5"/>
  <c r="F252" i="5"/>
  <c r="G252" i="5"/>
  <c r="F138" i="5"/>
  <c r="G138" i="5"/>
  <c r="G165" i="5"/>
  <c r="F165" i="5"/>
  <c r="G134" i="5"/>
  <c r="F134" i="5"/>
  <c r="G166" i="5"/>
  <c r="F166" i="5"/>
  <c r="G136" i="5"/>
  <c r="F136" i="5"/>
  <c r="F90" i="5"/>
  <c r="F99" i="5" s="1"/>
  <c r="I46" i="5"/>
  <c r="J46" i="5"/>
  <c r="I212" i="5"/>
  <c r="J212" i="5"/>
  <c r="I292" i="5"/>
  <c r="J292" i="5"/>
  <c r="I25" i="5"/>
  <c r="J25" i="5"/>
  <c r="J63" i="5"/>
  <c r="I63" i="5"/>
  <c r="I165" i="5"/>
  <c r="J165" i="5"/>
  <c r="I214" i="5"/>
  <c r="J214" i="5"/>
  <c r="I263" i="5"/>
  <c r="J263" i="5"/>
  <c r="J15" i="5"/>
  <c r="I15" i="5"/>
  <c r="I26" i="5"/>
  <c r="J26" i="5"/>
  <c r="I49" i="5"/>
  <c r="J49" i="5"/>
  <c r="I66" i="5"/>
  <c r="J66" i="5"/>
  <c r="I134" i="5"/>
  <c r="J134" i="5"/>
  <c r="I166" i="5"/>
  <c r="J166" i="5"/>
  <c r="I189" i="5"/>
  <c r="J189" i="5"/>
  <c r="I208" i="5"/>
  <c r="J208" i="5"/>
  <c r="I215" i="5"/>
  <c r="J215" i="5"/>
  <c r="I265" i="5"/>
  <c r="J265" i="5"/>
  <c r="I138" i="5"/>
  <c r="J138" i="5"/>
  <c r="I203" i="5"/>
  <c r="J203" i="5"/>
  <c r="I219" i="5"/>
  <c r="J219" i="5"/>
  <c r="I269" i="5"/>
  <c r="J269" i="5"/>
  <c r="I64" i="5"/>
  <c r="J64" i="5"/>
  <c r="I47" i="5"/>
  <c r="J47" i="5"/>
  <c r="I16" i="5"/>
  <c r="J16" i="5"/>
  <c r="J29" i="5"/>
  <c r="I29" i="5"/>
  <c r="I60" i="5"/>
  <c r="J60" i="5"/>
  <c r="I90" i="5"/>
  <c r="J90" i="5"/>
  <c r="I136" i="5"/>
  <c r="J136" i="5"/>
  <c r="I179" i="5"/>
  <c r="J179" i="5"/>
  <c r="I201" i="5"/>
  <c r="J201" i="5"/>
  <c r="I211" i="5"/>
  <c r="J211" i="5"/>
  <c r="I218" i="5"/>
  <c r="J218" i="5"/>
  <c r="I268" i="5"/>
  <c r="J268" i="5"/>
  <c r="I32" i="5"/>
  <c r="J32" i="5"/>
  <c r="I252" i="5"/>
  <c r="J252" i="5"/>
  <c r="I320" i="5"/>
  <c r="J320" i="5"/>
  <c r="G46" i="5"/>
  <c r="F46" i="5"/>
  <c r="F47" i="5"/>
  <c r="G47" i="5"/>
  <c r="G15" i="5"/>
  <c r="F15" i="5"/>
  <c r="F26" i="5"/>
  <c r="G26" i="5"/>
  <c r="F49" i="5"/>
  <c r="G49" i="5"/>
  <c r="G25" i="5"/>
  <c r="F25" i="5"/>
  <c r="F16" i="5"/>
  <c r="G16" i="5"/>
  <c r="F29" i="5"/>
  <c r="G29" i="5"/>
  <c r="G32" i="5"/>
  <c r="F32" i="5"/>
  <c r="H24" i="5"/>
  <c r="G11" i="7"/>
  <c r="G99" i="5"/>
  <c r="C340" i="6"/>
  <c r="E340" i="6" s="1"/>
  <c r="K12" i="7"/>
  <c r="K18" i="7"/>
  <c r="K9" i="7"/>
  <c r="G18" i="7"/>
  <c r="K21" i="7"/>
  <c r="H175" i="5"/>
  <c r="F175" i="5" s="1"/>
  <c r="F253" i="5"/>
  <c r="F321" i="5"/>
  <c r="H45" i="5"/>
  <c r="G45" i="5" s="1"/>
  <c r="F45" i="5"/>
  <c r="H50" i="5"/>
  <c r="G50" i="5" s="1"/>
  <c r="F111" i="5"/>
  <c r="H65" i="4"/>
  <c r="G65" i="4" s="1"/>
  <c r="I17" i="7"/>
  <c r="K17" i="7"/>
  <c r="P17" i="1"/>
  <c r="H135" i="5"/>
  <c r="E237" i="6"/>
  <c r="H28" i="5"/>
  <c r="H299" i="5"/>
  <c r="F299" i="5"/>
  <c r="H253" i="5"/>
  <c r="G253" i="5" s="1"/>
  <c r="H17" i="1"/>
  <c r="G17" i="1" s="1"/>
  <c r="H11" i="1"/>
  <c r="F11" i="1" s="1"/>
  <c r="H103" i="5"/>
  <c r="H105" i="5" s="1"/>
  <c r="G105" i="5" s="1"/>
  <c r="H167" i="5"/>
  <c r="H71" i="5"/>
  <c r="G71" i="5" s="1"/>
  <c r="E248" i="6"/>
  <c r="H139" i="5"/>
  <c r="H193" i="5"/>
  <c r="E485" i="6"/>
  <c r="H271" i="5"/>
  <c r="H192" i="5"/>
  <c r="H68" i="4" s="1"/>
  <c r="G68" i="4" s="1"/>
  <c r="F513" i="6"/>
  <c r="H293" i="5"/>
  <c r="H210" i="5"/>
  <c r="F121" i="6"/>
  <c r="F124" i="6" s="1"/>
  <c r="E137" i="6"/>
  <c r="H140" i="5"/>
  <c r="N17" i="1" l="1"/>
  <c r="O17" i="1"/>
  <c r="H69" i="4"/>
  <c r="G69" i="4" s="1"/>
  <c r="F71" i="5"/>
  <c r="J271" i="5"/>
  <c r="F271" i="5"/>
  <c r="I271" i="5"/>
  <c r="G210" i="5"/>
  <c r="F210" i="5"/>
  <c r="G192" i="5"/>
  <c r="F192" i="5"/>
  <c r="F225" i="5"/>
  <c r="G193" i="5"/>
  <c r="F193" i="5"/>
  <c r="H72" i="4"/>
  <c r="G72" i="4" s="1"/>
  <c r="F140" i="5"/>
  <c r="H70" i="4"/>
  <c r="G70" i="4" s="1"/>
  <c r="F139" i="5"/>
  <c r="G135" i="5"/>
  <c r="F135" i="5"/>
  <c r="F167" i="5"/>
  <c r="F168" i="5" s="1"/>
  <c r="G167" i="5"/>
  <c r="I28" i="5"/>
  <c r="J28" i="5"/>
  <c r="G172" i="6"/>
  <c r="J99" i="5"/>
  <c r="I99" i="5"/>
  <c r="J24" i="5"/>
  <c r="I24" i="5"/>
  <c r="I192" i="5"/>
  <c r="J192" i="5"/>
  <c r="I135" i="5"/>
  <c r="J135" i="5"/>
  <c r="I193" i="5"/>
  <c r="J193" i="5"/>
  <c r="I167" i="5"/>
  <c r="J167" i="5"/>
  <c r="I18" i="7"/>
  <c r="I210" i="5"/>
  <c r="J210" i="5"/>
  <c r="I293" i="5"/>
  <c r="J293" i="5"/>
  <c r="I299" i="5"/>
  <c r="J299" i="5"/>
  <c r="G24" i="5"/>
  <c r="F24" i="5"/>
  <c r="G28" i="5"/>
  <c r="F28" i="5"/>
  <c r="H38" i="5"/>
  <c r="G38" i="5" s="1"/>
  <c r="G543" i="6"/>
  <c r="G142" i="6"/>
  <c r="G440" i="6"/>
  <c r="H141" i="5"/>
  <c r="G141" i="5" s="1"/>
  <c r="C122" i="6"/>
  <c r="E122" i="6" s="1"/>
  <c r="F17" i="1"/>
  <c r="F103" i="5"/>
  <c r="F105" i="5" s="1"/>
  <c r="F50" i="5"/>
  <c r="H225" i="5"/>
  <c r="G225" i="5" s="1"/>
  <c r="H14" i="5"/>
  <c r="F121" i="5"/>
  <c r="K14" i="7"/>
  <c r="E305" i="6"/>
  <c r="E462" i="6"/>
  <c r="H168" i="5"/>
  <c r="G168" i="5" s="1"/>
  <c r="H12" i="1"/>
  <c r="H13" i="1"/>
  <c r="P21" i="1"/>
  <c r="O21" i="1" s="1"/>
  <c r="H121" i="5"/>
  <c r="G121" i="5" s="1"/>
  <c r="H294" i="5"/>
  <c r="F294" i="5"/>
  <c r="P14" i="1"/>
  <c r="H172" i="5"/>
  <c r="H197" i="5" s="1"/>
  <c r="H257" i="5"/>
  <c r="H52" i="5"/>
  <c r="F52" i="5" s="1"/>
  <c r="H51" i="5"/>
  <c r="H10" i="5"/>
  <c r="N14" i="1" l="1"/>
  <c r="O14" i="1"/>
  <c r="F13" i="1"/>
  <c r="G13" i="1"/>
  <c r="G12" i="1"/>
  <c r="F12" i="1"/>
  <c r="F141" i="5"/>
  <c r="G172" i="5"/>
  <c r="F172" i="5"/>
  <c r="F197" i="5" s="1"/>
  <c r="G197" i="5"/>
  <c r="G257" i="5"/>
  <c r="F257" i="5"/>
  <c r="I10" i="5"/>
  <c r="J10" i="5"/>
  <c r="G17" i="7"/>
  <c r="I172" i="5"/>
  <c r="J172" i="5"/>
  <c r="J141" i="5"/>
  <c r="I141" i="5"/>
  <c r="I14" i="5"/>
  <c r="J14" i="5"/>
  <c r="I257" i="5"/>
  <c r="J257" i="5"/>
  <c r="I294" i="5"/>
  <c r="J294" i="5"/>
  <c r="G282" i="6"/>
  <c r="F14" i="5"/>
  <c r="G14" i="5"/>
  <c r="H17" i="5"/>
  <c r="F10" i="5"/>
  <c r="G21" i="7"/>
  <c r="G241" i="6"/>
  <c r="G399" i="6"/>
  <c r="G178" i="6"/>
  <c r="G215" i="6"/>
  <c r="H73" i="4"/>
  <c r="G73" i="4" s="1"/>
  <c r="K16" i="7"/>
  <c r="N21" i="1"/>
  <c r="F51" i="5"/>
  <c r="F53" i="5" s="1"/>
  <c r="H53" i="5"/>
  <c r="H262" i="5"/>
  <c r="H274" i="5" s="1"/>
  <c r="K23" i="7"/>
  <c r="P12" i="1"/>
  <c r="H149" i="5"/>
  <c r="N12" i="1" l="1"/>
  <c r="O12" i="1"/>
  <c r="F17" i="5"/>
  <c r="G262" i="5"/>
  <c r="F262" i="5"/>
  <c r="G274" i="5"/>
  <c r="I262" i="5"/>
  <c r="J262" i="5"/>
  <c r="J149" i="5"/>
  <c r="G17" i="5"/>
  <c r="H56" i="5"/>
  <c r="G149" i="5"/>
  <c r="G249" i="6"/>
  <c r="G351" i="6"/>
  <c r="K8" i="7"/>
  <c r="K26" i="7" s="1"/>
  <c r="G8" i="7"/>
  <c r="G26" i="7" s="1"/>
  <c r="I8" i="7"/>
  <c r="I21" i="7"/>
  <c r="P13" i="1"/>
  <c r="O13" i="1" l="1"/>
  <c r="N13" i="1"/>
  <c r="F274" i="5"/>
  <c r="G56" i="5"/>
  <c r="H323" i="5"/>
  <c r="G323" i="5" s="1"/>
  <c r="G488" i="6"/>
  <c r="H80" i="4"/>
  <c r="G80" i="4" s="1"/>
  <c r="I26" i="7"/>
  <c r="F38" i="5"/>
  <c r="P9" i="1"/>
  <c r="F19" i="5"/>
  <c r="P16" i="1"/>
  <c r="N9" i="1" l="1"/>
  <c r="O9" i="1"/>
  <c r="O16" i="1"/>
  <c r="N16" i="1"/>
  <c r="F56" i="5"/>
  <c r="F323" i="5" s="1"/>
  <c r="I323" i="5"/>
  <c r="J323" i="5"/>
  <c r="G124" i="6"/>
  <c r="P10" i="1"/>
  <c r="P11" i="1"/>
  <c r="N11" i="1" l="1"/>
  <c r="O11" i="1"/>
  <c r="N10" i="1"/>
  <c r="O10" i="1"/>
  <c r="H83" i="4" l="1"/>
  <c r="P15" i="1"/>
  <c r="O15" i="1" s="1"/>
  <c r="P22" i="1" l="1"/>
  <c r="O22" i="1" s="1"/>
  <c r="N15" i="1"/>
  <c r="N22" i="1" s="1"/>
  <c r="F44" i="2" l="1"/>
  <c r="F48" i="2" s="1"/>
  <c r="G181" i="3" l="1"/>
  <c r="H9" i="1"/>
  <c r="H44" i="2"/>
  <c r="G44" i="2" s="1"/>
  <c r="F9" i="1" l="1"/>
  <c r="G9" i="1"/>
  <c r="H48" i="2"/>
  <c r="H15" i="1"/>
  <c r="G15" i="1" s="1"/>
  <c r="F15" i="1"/>
  <c r="F22" i="1" s="1"/>
  <c r="H22" i="1" l="1"/>
  <c r="H27" i="1" l="1"/>
  <c r="G22" i="1"/>
  <c r="F547" i="6"/>
  <c r="G274" i="6"/>
  <c r="F549" i="6" l="1"/>
  <c r="H325" i="5"/>
  <c r="H184" i="3"/>
</calcChain>
</file>

<file path=xl/sharedStrings.xml><?xml version="1.0" encoding="utf-8"?>
<sst xmlns="http://schemas.openxmlformats.org/spreadsheetml/2006/main" count="2250" uniqueCount="783">
  <si>
    <t>Önkormányzati bevételek és kiadások összesen</t>
  </si>
  <si>
    <t>adatok: ezer Ft-ban</t>
  </si>
  <si>
    <t>Bevételek</t>
  </si>
  <si>
    <t>Kiadások</t>
  </si>
  <si>
    <t>Nyt.szla</t>
  </si>
  <si>
    <t>Megnevezés</t>
  </si>
  <si>
    <t>0911</t>
  </si>
  <si>
    <t>Önkormányzatok működési támogatása</t>
  </si>
  <si>
    <t>051</t>
  </si>
  <si>
    <t>Személyi juttatások</t>
  </si>
  <si>
    <t>0916</t>
  </si>
  <si>
    <t>Egyéb műk-i célú tám. ÁH-on belülről</t>
  </si>
  <si>
    <t>052</t>
  </si>
  <si>
    <t>Munkaadót terhelő járulékok</t>
  </si>
  <si>
    <t>092</t>
  </si>
  <si>
    <t>Felhalmozási c. tám. ÁH-on belülről</t>
  </si>
  <si>
    <t>053</t>
  </si>
  <si>
    <t>Dologi kiadások</t>
  </si>
  <si>
    <t>093</t>
  </si>
  <si>
    <t>Közhatalmi bevételek</t>
  </si>
  <si>
    <t>054</t>
  </si>
  <si>
    <t>Szociális juttatások</t>
  </si>
  <si>
    <t>094</t>
  </si>
  <si>
    <t>Működési bevételek</t>
  </si>
  <si>
    <t>055</t>
  </si>
  <si>
    <t>Átadott pénzeszközök</t>
  </si>
  <si>
    <t>0952</t>
  </si>
  <si>
    <t>Felhalmozási bevételek</t>
  </si>
  <si>
    <t>059</t>
  </si>
  <si>
    <t>Irányítószervi támogatás</t>
  </si>
  <si>
    <t>Tárgyévi működési kiadások</t>
  </si>
  <si>
    <t>09813</t>
  </si>
  <si>
    <t>Önkorm. Pénzmaradványa igénybevét.</t>
  </si>
  <si>
    <t>056-057</t>
  </si>
  <si>
    <t>Fejlesztés, felújítás</t>
  </si>
  <si>
    <t>055131</t>
  </si>
  <si>
    <t>Céltartalék (elköt.pm.terhére)</t>
  </si>
  <si>
    <t>Általános tartalék</t>
  </si>
  <si>
    <t>Likvidtartalék</t>
  </si>
  <si>
    <t>058</t>
  </si>
  <si>
    <t>059141</t>
  </si>
  <si>
    <t>ÁHT-n belüli megelőlegezés visszafiz.</t>
  </si>
  <si>
    <t>Mindösszesen</t>
  </si>
  <si>
    <t>I/2.számú melléklet</t>
  </si>
  <si>
    <t>adatok: Ft-ban</t>
  </si>
  <si>
    <t>Főkönyvi szám</t>
  </si>
  <si>
    <t>Főkönyvi szám neve</t>
  </si>
  <si>
    <t>Eredeti előirányzat</t>
  </si>
  <si>
    <t>091111</t>
  </si>
  <si>
    <t>Helyi önkormányzatok működésének általános támogatása</t>
  </si>
  <si>
    <t>091121</t>
  </si>
  <si>
    <t>Települési önkormányzatok egyes köznevelési feladatainak támogatása</t>
  </si>
  <si>
    <t>091131</t>
  </si>
  <si>
    <t>Települési önkormányzatok szociális, gyermekjóléti és gyermekétkeztetési feladatainak támogatása</t>
  </si>
  <si>
    <t>091141</t>
  </si>
  <si>
    <t>Települési önkormányzatok kulturális feladatainak támogatása</t>
  </si>
  <si>
    <t>091151</t>
  </si>
  <si>
    <t>Működési célú költségvetési támogatások és kiegészítő támogatások</t>
  </si>
  <si>
    <t>0911   Önkormányzatok működési támogatása</t>
  </si>
  <si>
    <t>Egyéb működési célú támogatások bevételei államháztartáson belülről-helyi önkormányzatok és költségvetési szerveik</t>
  </si>
  <si>
    <t>09161</t>
  </si>
  <si>
    <t>Egyéb működési célú támogatások bevételei államháztartáson belülről</t>
  </si>
  <si>
    <t>0916   Egyéb működési célú támogatások bevételei ÁH-on belülről</t>
  </si>
  <si>
    <t>09213</t>
  </si>
  <si>
    <t>093432</t>
  </si>
  <si>
    <t>Magánszemélyek kommunális adója</t>
  </si>
  <si>
    <t>09351071</t>
  </si>
  <si>
    <t>Állandó jelleggel végzett iparűzési tevékenység után fizetett helyi adó</t>
  </si>
  <si>
    <t>0935411</t>
  </si>
  <si>
    <t>Belföldi gépjárművek adójának  a helyi önkormányzatot megillető része</t>
  </si>
  <si>
    <t>0936112</t>
  </si>
  <si>
    <t>Szabálysértési pénz- és helyszíni bírság és a közlekedési szabályszegések után kiszabott közigazgatási bírság helyi önkormányzatot megillető része</t>
  </si>
  <si>
    <t>0936121</t>
  </si>
  <si>
    <t>Egyéb bírság</t>
  </si>
  <si>
    <t>0936162</t>
  </si>
  <si>
    <t>Egyéb közhatalmi bevétel</t>
  </si>
  <si>
    <t>0936172</t>
  </si>
  <si>
    <t>Késedelmi és önellenőrzési pótlék</t>
  </si>
  <si>
    <t>Egyéb közhatalmi bevételek</t>
  </si>
  <si>
    <t>093   Közhatalmi bevételek</t>
  </si>
  <si>
    <t>094022</t>
  </si>
  <si>
    <t>Szolgáltatások ellenértéke</t>
  </si>
  <si>
    <t>094041</t>
  </si>
  <si>
    <t>Tulajdonosi bevételek</t>
  </si>
  <si>
    <t>094051</t>
  </si>
  <si>
    <t>Ellátási díjak</t>
  </si>
  <si>
    <t>094061</t>
  </si>
  <si>
    <t>Kiszámlázott általános forgalmi adó</t>
  </si>
  <si>
    <t>094071</t>
  </si>
  <si>
    <t>Általános forgalmi adó visszatérítése</t>
  </si>
  <si>
    <t>094082</t>
  </si>
  <si>
    <t>Kamatbevételek</t>
  </si>
  <si>
    <t>094111</t>
  </si>
  <si>
    <t>Egyéb működési bevételek</t>
  </si>
  <si>
    <t>0941142</t>
  </si>
  <si>
    <t>1 és 2 forintos érmék forgalomból történő kivonása miatti kerekítési különbözet</t>
  </si>
  <si>
    <t>094   Működési bevételek</t>
  </si>
  <si>
    <t>095211</t>
  </si>
  <si>
    <t>Ingatlan értékesítés</t>
  </si>
  <si>
    <t>09641</t>
  </si>
  <si>
    <t>Működési célú visszatérítendő támogatások, kölcsönök visszatérülése államháztartáson kívülről</t>
  </si>
  <si>
    <t>0965091</t>
  </si>
  <si>
    <t>Egyéb működési célú átvett pénzeszközök-Európai Unió</t>
  </si>
  <si>
    <t>Egyéb felhalmozási célú átvett pénzeszközök-háztartások</t>
  </si>
  <si>
    <t>0925031</t>
  </si>
  <si>
    <t>Egyéb felhalmozási célú támogatások bevételei államháztartáson belülről-fejezeti kezelésű előirányzatok EU-s programok és azok hazai társfinanszírozása</t>
  </si>
  <si>
    <t>0952 Felhalmozási bevételek</t>
  </si>
  <si>
    <t>0981311</t>
  </si>
  <si>
    <t>Előző év költségvetési maradványának igénybevétele</t>
  </si>
  <si>
    <t>Bevételek összesen</t>
  </si>
  <si>
    <t>I/2.a) számú melléklet</t>
  </si>
  <si>
    <t>Bevételek kormányati funkciók (COFOG) szerinti bontásban</t>
  </si>
  <si>
    <t>011130 - Önkormányzatok és önkormányzati hivatalok jogalkotó és általános igazgatási tevékenysége</t>
  </si>
  <si>
    <t>09361</t>
  </si>
  <si>
    <t>Egyéb bírság bevételei (Vízmű)</t>
  </si>
  <si>
    <t>09363</t>
  </si>
  <si>
    <t>094062</t>
  </si>
  <si>
    <t>Bevétel összesen:</t>
  </si>
  <si>
    <t>013320 - Köztemető-fenntartás és -működtetés</t>
  </si>
  <si>
    <t>018010 - Önkormányzatok elszámolásai a központi költségvetéssel</t>
  </si>
  <si>
    <t>ebből: zöldterület-gazdálkodással kapcsolatos feladatok ellátásának támogatása</t>
  </si>
  <si>
    <t>ebből: közvilágítás fenntartásának támogatása</t>
  </si>
  <si>
    <t>ebből: köztemető fenntartással kapcs. feladatok támog.</t>
  </si>
  <si>
    <t>ebből: közutak fenntartásának támogatása</t>
  </si>
  <si>
    <t>ebből: polgármesteri illetmény támogatása</t>
  </si>
  <si>
    <t>Települési önkormányzatok egyes köznevelési feladatainak támogatása (óvoda fenntartás)</t>
  </si>
  <si>
    <t>ebből: szociális feladatok egyéb támogatása</t>
  </si>
  <si>
    <t>ebből: finanszírozás szempontjából elismert dolgozók bértámogatása</t>
  </si>
  <si>
    <t>ebből: gyermekétkeztetés üzemeltetési támogatása</t>
  </si>
  <si>
    <t>ebből: rászoruló gyermekek szünidei étekztetésének tám.</t>
  </si>
  <si>
    <t>018030 - Támogatási célú finanszírozási műveletek</t>
  </si>
  <si>
    <t>052020 - Szennyvíz gyűjtése, tisztítása, elhelyezése</t>
  </si>
  <si>
    <t>074031 - Család és nővédelmi egészségügyi gondozás</t>
  </si>
  <si>
    <t>Egyéb működési célú támogatások bevételei államháztartáson belülről (OEP védőnő)</t>
  </si>
  <si>
    <t>096015 - Gyermekétkeztetés köznevelési intézményben</t>
  </si>
  <si>
    <t>900020 - Önkormányzatok funkcióira nem sorolható bevételei államháztartáson kívülről</t>
  </si>
  <si>
    <t>104051 - Gyermekvédelmi pénzbeli és természetbeni ellátások</t>
  </si>
  <si>
    <t>Összes COFOG szerinti bevétel:</t>
  </si>
  <si>
    <t>I/3. számú melléklet</t>
  </si>
  <si>
    <t>05110111</t>
  </si>
  <si>
    <t>Köztisztviselők,közalkalmazottak bére</t>
  </si>
  <si>
    <t>05110131</t>
  </si>
  <si>
    <t>MT alapján teljes, részmunkaidős bére</t>
  </si>
  <si>
    <t>0511091</t>
  </si>
  <si>
    <t>Közlekedési költségtérítés</t>
  </si>
  <si>
    <t>0511101</t>
  </si>
  <si>
    <t>Egyéb költségtérítések</t>
  </si>
  <si>
    <t>0511131</t>
  </si>
  <si>
    <t>Foglalkoztatottak egyéb személyi juttatásai</t>
  </si>
  <si>
    <t>051211</t>
  </si>
  <si>
    <t>Választott tisztségviselők juttatásai</t>
  </si>
  <si>
    <t>051221</t>
  </si>
  <si>
    <t>Munkavégzésre irányuló egyéb jogviszonyban nem saját foglalkoztatottnak fizetett juttatások</t>
  </si>
  <si>
    <t>0512361</t>
  </si>
  <si>
    <t>Reprezentáció, üzleti ajándék</t>
  </si>
  <si>
    <t>05211</t>
  </si>
  <si>
    <t>Szociális hozzájárulási adó</t>
  </si>
  <si>
    <t>05261</t>
  </si>
  <si>
    <t>Más járulék fizetési kötelezettség</t>
  </si>
  <si>
    <t>053111</t>
  </si>
  <si>
    <t>Szakmai anyagok beszerzése</t>
  </si>
  <si>
    <t>0531111</t>
  </si>
  <si>
    <t>Gyógyszer</t>
  </si>
  <si>
    <t>0531121</t>
  </si>
  <si>
    <t>Könyv, folyóirat</t>
  </si>
  <si>
    <t>0531141</t>
  </si>
  <si>
    <t>Informatikai eszközök</t>
  </si>
  <si>
    <t>053121</t>
  </si>
  <si>
    <t>Üzemeltetési anyagok beszerzése</t>
  </si>
  <si>
    <t>0531211</t>
  </si>
  <si>
    <t>Élelmiszer</t>
  </si>
  <si>
    <t>0531221</t>
  </si>
  <si>
    <t>Irodaszer, nyomtatvány</t>
  </si>
  <si>
    <t>0531231</t>
  </si>
  <si>
    <t>Hajtó és kenőanyag</t>
  </si>
  <si>
    <t>0531241</t>
  </si>
  <si>
    <t>Munka és védőruha</t>
  </si>
  <si>
    <t>0531251</t>
  </si>
  <si>
    <t>Nyomtatást segítő anyagok</t>
  </si>
  <si>
    <t>0531261</t>
  </si>
  <si>
    <t>Amelyek nem számolhatóak el szakmai anyagnak</t>
  </si>
  <si>
    <t>0532111</t>
  </si>
  <si>
    <t>0532211</t>
  </si>
  <si>
    <t>Telefon, telefax, telex, mobíl díj</t>
  </si>
  <si>
    <t>053311</t>
  </si>
  <si>
    <t>Közüzemidíjak</t>
  </si>
  <si>
    <t>0533111</t>
  </si>
  <si>
    <t>ebből: villamos energia</t>
  </si>
  <si>
    <t>0533121</t>
  </si>
  <si>
    <t>ebből: gázdíj</t>
  </si>
  <si>
    <t>0533131</t>
  </si>
  <si>
    <t>ebből: víz- és csatornadíj</t>
  </si>
  <si>
    <t>053321</t>
  </si>
  <si>
    <t>Vásárolt élelmezés</t>
  </si>
  <si>
    <t>053331</t>
  </si>
  <si>
    <t>Bérleti és lízing díjak</t>
  </si>
  <si>
    <t>053341</t>
  </si>
  <si>
    <t>Karbantartási, kisjavítási szolgáltatások</t>
  </si>
  <si>
    <t>053361</t>
  </si>
  <si>
    <t>Szakmai tevékenységet segítő szolgáltatások</t>
  </si>
  <si>
    <t>0533621</t>
  </si>
  <si>
    <t>Más szakmai tevékenység</t>
  </si>
  <si>
    <t>053371</t>
  </si>
  <si>
    <t>Egyéb szolgáltatások</t>
  </si>
  <si>
    <t>Postaköltség</t>
  </si>
  <si>
    <t>Biztosítási díjak</t>
  </si>
  <si>
    <t>0533791</t>
  </si>
  <si>
    <t>Más egyéb szolgáltatások</t>
  </si>
  <si>
    <t>0534111</t>
  </si>
  <si>
    <t>Foglalkoztatottak kiküldetései</t>
  </si>
  <si>
    <t>053511</t>
  </si>
  <si>
    <t>Műk-i célú előzetesen felszámított áfa</t>
  </si>
  <si>
    <t>053521</t>
  </si>
  <si>
    <t>Fizetendő általános forgalmi adó</t>
  </si>
  <si>
    <t>053531</t>
  </si>
  <si>
    <t>Kamatkiadások</t>
  </si>
  <si>
    <t>053551</t>
  </si>
  <si>
    <t>Egyéb dologi kiadások</t>
  </si>
  <si>
    <t>05421</t>
  </si>
  <si>
    <t>Egyéb pénzbeni és természetbeni gyermekvédelmi ell.</t>
  </si>
  <si>
    <t>05471</t>
  </si>
  <si>
    <t>Intézményi ellátottak pénzbeli juttatásai</t>
  </si>
  <si>
    <t>0548</t>
  </si>
  <si>
    <t>054831</t>
  </si>
  <si>
    <t>Egyéb, Önkormányzat rendeletében megállapított juttatás</t>
  </si>
  <si>
    <t>054851</t>
  </si>
  <si>
    <t>054861</t>
  </si>
  <si>
    <t>Temetési segély [Szoctv. 46. §]</t>
  </si>
  <si>
    <t>055061</t>
  </si>
  <si>
    <t>0550211</t>
  </si>
  <si>
    <t>A helyi önkormányzatok előző évi elszámolásából származó kiadások</t>
  </si>
  <si>
    <t>05506071</t>
  </si>
  <si>
    <t>Egyéb működési célú támogatások államháztartáson belülre-helyi önkormányzatok és költségvetési szerveik</t>
  </si>
  <si>
    <t>Egyéb működési célú támogatások ÁH-on belülre</t>
  </si>
  <si>
    <t>055081</t>
  </si>
  <si>
    <t>Működési célú visszatérítendő támogatások, kölcsönök nyújtása államháztartáson kívülre</t>
  </si>
  <si>
    <t>055121</t>
  </si>
  <si>
    <t>Egyéb működési célú támogatások ÁH-on kívülre</t>
  </si>
  <si>
    <t>05612</t>
  </si>
  <si>
    <t>Immateriális javak beszerzése, létesítése</t>
  </si>
  <si>
    <t>05621</t>
  </si>
  <si>
    <t>Ingatlanok beszerzése, létesítése</t>
  </si>
  <si>
    <t>05631</t>
  </si>
  <si>
    <t>Informatikai eszközök beszerzése, létesítése</t>
  </si>
  <si>
    <t>05641</t>
  </si>
  <si>
    <t>Egyéb tárgyi eszközök beszerzése, létesítése</t>
  </si>
  <si>
    <t>05671</t>
  </si>
  <si>
    <t>Beruházási célú előzetesen felszámított áfa</t>
  </si>
  <si>
    <t>05711</t>
  </si>
  <si>
    <t>Ingatlanok felújítása</t>
  </si>
  <si>
    <t>05731</t>
  </si>
  <si>
    <t>Egyéb tárgyi eszközök felújítása</t>
  </si>
  <si>
    <t>05741</t>
  </si>
  <si>
    <t>Felújítási célú előzetesen felszámított áfa</t>
  </si>
  <si>
    <t>Fejlesztések</t>
  </si>
  <si>
    <t>05841</t>
  </si>
  <si>
    <t>Államháztartáson belüli megelőlegezések visszafizetése</t>
  </si>
  <si>
    <t>059151</t>
  </si>
  <si>
    <t>Központi, irányító szervi támogatás folyósítása</t>
  </si>
  <si>
    <t>Tartalékok (általános)</t>
  </si>
  <si>
    <t>Tartalékok (elköt.pénzm..terh.)</t>
  </si>
  <si>
    <t>Kiadások összesen</t>
  </si>
  <si>
    <t>I/3.a) számú melléklet</t>
  </si>
  <si>
    <t>Kiadások kormányati funkciók (COFOG) szerinti bontásban</t>
  </si>
  <si>
    <t>Törvény szerinti illetmények</t>
  </si>
  <si>
    <t>Villamos energia</t>
  </si>
  <si>
    <t>Gázdíj</t>
  </si>
  <si>
    <t>05341</t>
  </si>
  <si>
    <t>Működési célú előzetesen felszámított általános forgalmi adó</t>
  </si>
  <si>
    <t>Egyéb működési célú támogatások államháztartáson belülre</t>
  </si>
  <si>
    <t>Működési célú vissza nem térítendő támogatások, kölcsönök nyújtása államháztartáson kívülre</t>
  </si>
  <si>
    <t>Tartalékok</t>
  </si>
  <si>
    <t>Tartalékok (elköt. pénzmaradv. terhére)</t>
  </si>
  <si>
    <t>Beruházási célú előzetesen felszámított általános forgalmi adó</t>
  </si>
  <si>
    <t>Felújítási célú előzetesen felszámított általános forgalmi adó</t>
  </si>
  <si>
    <t xml:space="preserve">Fejezeti kezelésű EI-nak EU-s programokra nyújtott felhalmozási célú támogatás </t>
  </si>
  <si>
    <t>Kiadás összesen:</t>
  </si>
  <si>
    <t>Víz- és csatornadíj</t>
  </si>
  <si>
    <t>Beruházás</t>
  </si>
  <si>
    <t>013350 - Az önkormányzati vagyonnal való gazdálkodással kapcsolatos feladatok</t>
  </si>
  <si>
    <t>016080 - Kiemelt állami és önkormányzati rendezvények</t>
  </si>
  <si>
    <t>Helyi önkormányzatok előző évi elszámolásából származó kiadások</t>
  </si>
  <si>
    <t>045160 - Közutak, hidak, alagutak üzemeltetése, fenntartása</t>
  </si>
  <si>
    <t>064010 - Közvilágítás</t>
  </si>
  <si>
    <t>066020 - Város-, községgazdálkodási egyéb szolgáltatások</t>
  </si>
  <si>
    <t>Közüzemi díjak</t>
  </si>
  <si>
    <t>0511021</t>
  </si>
  <si>
    <t>Normatív jutalmak</t>
  </si>
  <si>
    <t>051113</t>
  </si>
  <si>
    <t>053411</t>
  </si>
  <si>
    <t>Kiküldetések kiadásai</t>
  </si>
  <si>
    <t>053552</t>
  </si>
  <si>
    <t>084031 - Civil szervezetek működési támogatása</t>
  </si>
  <si>
    <t>Egyéb működési célú támogatások államháztartáson kívülre</t>
  </si>
  <si>
    <t>05713</t>
  </si>
  <si>
    <t>05743</t>
  </si>
  <si>
    <t>104037 - Intézményen kívüli gyermekétkeztetés</t>
  </si>
  <si>
    <t>Egyéb pénzbeni és természetbeni gyermekvédelmi támogatások kiadásai</t>
  </si>
  <si>
    <t>Egyéb, az Önkormányzat rendeletében megállapított juttatás</t>
  </si>
  <si>
    <t>107060 - Egyéb szociális pénzbeli és természetbeni ellátások, támogatások</t>
  </si>
  <si>
    <t>Egyéb üzemeltetési anyagok - szoc.tüzifa</t>
  </si>
  <si>
    <t>Egyéb szolgáltatások - szoc. tüzifa szállítási díj</t>
  </si>
  <si>
    <t>Működési célú, előzetesen felszámított áfa</t>
  </si>
  <si>
    <t>Egyéb, nem intézményi ellátások [Szoctv. 45. § alapján]</t>
  </si>
  <si>
    <t>Kiadások mindösszesen</t>
  </si>
  <si>
    <t>Törvény szerinti illetmények összesen:</t>
  </si>
  <si>
    <t>hó</t>
  </si>
  <si>
    <t>év</t>
  </si>
  <si>
    <t>Bankköltség térítése - polgármester</t>
  </si>
  <si>
    <t>Választott tisztségviselők juttatásai összesen</t>
  </si>
  <si>
    <t>Egyéb jogviszonyban nem saját foglalkoztatottnak fizetett juttatások összesen</t>
  </si>
  <si>
    <t>05231</t>
  </si>
  <si>
    <t xml:space="preserve">Szociális hozzájárulási adó </t>
  </si>
  <si>
    <t>Szociális hozzájárulási adó összesen</t>
  </si>
  <si>
    <t>Szakmai anyagok beszerzése (könyv)</t>
  </si>
  <si>
    <t>Tisztítószer</t>
  </si>
  <si>
    <t>Munkaruha és védőruha</t>
  </si>
  <si>
    <t>Üzemeltetési anyagok összesen</t>
  </si>
  <si>
    <t>Informatikai szolgáltatások igénybevétele</t>
  </si>
  <si>
    <t>Bérleti és lízing díjak összesen</t>
  </si>
  <si>
    <t>Jogi szolgáltatás</t>
  </si>
  <si>
    <t>Szakmai tevékenységet segítő szolgáltatások összesen</t>
  </si>
  <si>
    <t>AM</t>
  </si>
  <si>
    <t>Egyéb szolgáltatások összesen:</t>
  </si>
  <si>
    <t>Működési célú előzetesen felszámított általános forgalmi adó összesen</t>
  </si>
  <si>
    <t xml:space="preserve"> </t>
  </si>
  <si>
    <t>0535502</t>
  </si>
  <si>
    <t>Egyéb dologi kiadások összesen</t>
  </si>
  <si>
    <t>Egyéb működési célú támogatások államháztartáson belülre összesen</t>
  </si>
  <si>
    <t xml:space="preserve">Összes önkormányzati tartalék </t>
  </si>
  <si>
    <t>Felújítási kiadások összesen</t>
  </si>
  <si>
    <t>Karbantartási, kisjavítási szolg. összesen</t>
  </si>
  <si>
    <t>018030 Támogatási célú finanszírozási műveletek</t>
  </si>
  <si>
    <t>Óvodának átadott köznevelési normatíva</t>
  </si>
  <si>
    <t>Óvodának átadott irányító szervi támogatás</t>
  </si>
  <si>
    <t>Más járulék fizetési kötelezettség TP hj.</t>
  </si>
  <si>
    <t>Karbantartás, kisjavítás összesen</t>
  </si>
  <si>
    <t>Ingatlanok felújítása összesen</t>
  </si>
  <si>
    <t>MT alapján teljes, részmunkaidős bér összesen</t>
  </si>
  <si>
    <t>Egyéb költségtérítések -bankköltség</t>
  </si>
  <si>
    <t>Egyéb készlet, üzemeltetési anyag</t>
  </si>
  <si>
    <t>Egyéb karbantartási, kisjavítási szolgáltatások</t>
  </si>
  <si>
    <t>Egyéb tárgyi eszközök beszerzése, létesítése összesen</t>
  </si>
  <si>
    <t>Köztisztviselők, közalkalmazottak bére</t>
  </si>
  <si>
    <t>0521</t>
  </si>
  <si>
    <t>Rovarírtás</t>
  </si>
  <si>
    <t>Köztisztviselők, közalkalmazottak bére összesen</t>
  </si>
  <si>
    <t xml:space="preserve">Egyéb tárgyi eszköz beszerzés </t>
  </si>
  <si>
    <t xml:space="preserve">Ingatlanok felújítása </t>
  </si>
  <si>
    <t>Dorog és Térsége Szociális Alapellátó Szolgálatnak fizetett hozzájárulás</t>
  </si>
  <si>
    <t>Egyéb pénzbeli és természetbeni gyermekvédelmi támogatások kiadásai</t>
  </si>
  <si>
    <t>kiegészítő gyermekvédelmi támogatás</t>
  </si>
  <si>
    <t>Vásárolt élelmezés előirányzata</t>
  </si>
  <si>
    <t>Családsegítő és Gyermekjóléti Szolg.-nak fizetett éves hozzájárulás</t>
  </si>
  <si>
    <t>053771</t>
  </si>
  <si>
    <t>0548317</t>
  </si>
  <si>
    <t>Egyéb nem intézményi ellátás (Szoctv. 45.§)</t>
  </si>
  <si>
    <t>0548315</t>
  </si>
  <si>
    <t>Egyéb, az Önkorm. Rendeletében megállapított juttatás (rendelet alapján)</t>
  </si>
  <si>
    <t>rendelet alapján</t>
  </si>
  <si>
    <t>ebből: Beiskolázási támogatás</t>
  </si>
  <si>
    <t>Kiadások kormányati funkciók (COFOG) szerinti bontásban (összesítő)</t>
  </si>
  <si>
    <t>Kormányzati funkció (COFOG)</t>
  </si>
  <si>
    <t>Bér</t>
  </si>
  <si>
    <t>Járulék</t>
  </si>
  <si>
    <t>Dologi kiadás</t>
  </si>
  <si>
    <t>107060 - Egyéb szociális pénzbeni és természetbeni ellátások</t>
  </si>
  <si>
    <t>Önkormányzat összesen:</t>
  </si>
  <si>
    <t xml:space="preserve">Közutak fenntartásának támogatása: </t>
  </si>
  <si>
    <t>Ft</t>
  </si>
  <si>
    <t>Közvilágítás fenntartásának támogatása:</t>
  </si>
  <si>
    <t>Köztemető fenntartásának támogatása:</t>
  </si>
  <si>
    <t>Üzemeltetési anyagok, tisztítószer iskolának</t>
  </si>
  <si>
    <t>Egyéb szolgáltatások - fűtőanyag szállítási díj</t>
  </si>
  <si>
    <t>Ellenőrzés:</t>
  </si>
  <si>
    <t>Tárgyévi működési bevételek</t>
  </si>
  <si>
    <t>Települési önkormányzatok kulturális feladatainak támogatása (kulturális illetménypótlék)</t>
  </si>
  <si>
    <t>098141</t>
  </si>
  <si>
    <t>Államháztartáson belüli megelőlegezések teljesítése</t>
  </si>
  <si>
    <t>Államháztartáson belüli megelőlegezés</t>
  </si>
  <si>
    <t>%</t>
  </si>
  <si>
    <t>041233 Hosszú távú közfoglalkoztatás</t>
  </si>
  <si>
    <t>I/3.aa) számú melléklet</t>
  </si>
  <si>
    <t>Kiadások visszatérítései</t>
  </si>
  <si>
    <t>097533</t>
  </si>
  <si>
    <t>Egyéb felhalmozási c. átvett pénzeszk.</t>
  </si>
  <si>
    <t>Piliscsév Község Önkormányzata</t>
  </si>
  <si>
    <t>Szakmai anyagok, gyógyszer, könyv beszerzése</t>
  </si>
  <si>
    <t>Informatikai szolgáltatások, internet díj</t>
  </si>
  <si>
    <t>Víz- és csatornadíj  (technikai)</t>
  </si>
  <si>
    <t>0533521</t>
  </si>
  <si>
    <t>Közvetítet szolgáltatások ÁHT-on kívül</t>
  </si>
  <si>
    <t>Belföldi kiküldetések</t>
  </si>
  <si>
    <t>Önkéntes EP - polgármester</t>
  </si>
  <si>
    <t>Egyéb külső személyi juttatások</t>
  </si>
  <si>
    <t>051231</t>
  </si>
  <si>
    <t>0331131</t>
  </si>
  <si>
    <t>Csapuka Katalin újság, pályázat megbízási díj</t>
  </si>
  <si>
    <t>Gépek, autó</t>
  </si>
  <si>
    <t>Faház</t>
  </si>
  <si>
    <t>Belföldi kiküldetések kiadásai</t>
  </si>
  <si>
    <t>Karbantartás, kisjaítási szolgáltatások telj.</t>
  </si>
  <si>
    <t xml:space="preserve">Villamos energia </t>
  </si>
  <si>
    <t xml:space="preserve">Gázdíj  </t>
  </si>
  <si>
    <t xml:space="preserve">Víz- és csatornadíj </t>
  </si>
  <si>
    <t>Egyéb szolgáltatások teljesítése</t>
  </si>
  <si>
    <t xml:space="preserve">Egyéb szolgáltatások </t>
  </si>
  <si>
    <t>Közös Hivatalnak átadott állami támogatás</t>
  </si>
  <si>
    <t>Művelődési Háznak átadott állami támogatás</t>
  </si>
  <si>
    <t>Művelődési Háznak átadott irányító szervi támogatás</t>
  </si>
  <si>
    <t>041233 Hosszabb időtartamú közfoglalkoztatás</t>
  </si>
  <si>
    <t>Törvény szerinti illetmények, munkabérek telj.</t>
  </si>
  <si>
    <t>041236 Országos közfoglalkoztatási program</t>
  </si>
  <si>
    <t>Ingatlanok felújítása teljesítése</t>
  </si>
  <si>
    <t xml:space="preserve">Zöldterület gazdálkodás normatíva: </t>
  </si>
  <si>
    <t>Kamatkiadások teljesítése</t>
  </si>
  <si>
    <t>05831</t>
  </si>
  <si>
    <t>Központi költségvetési szervnek felhalmozási célú visszatérítendő támogatás, kölcsön törlesztés kiadásai</t>
  </si>
  <si>
    <t>0511041</t>
  </si>
  <si>
    <t>Készenléti, ügyeleti, helyettesítési díj, túlóra</t>
  </si>
  <si>
    <t>0511071</t>
  </si>
  <si>
    <t>Béren kívüli juttatások teljesítése</t>
  </si>
  <si>
    <t>053211</t>
  </si>
  <si>
    <t>Egyéb kommunikációs szolgáltatások telj.</t>
  </si>
  <si>
    <t>074032 - Ifjúság-egyészségügyi gondozás</t>
  </si>
  <si>
    <t>074032 - Ifjúság-egészségügyi gondozás</t>
  </si>
  <si>
    <t>Med-Anna</t>
  </si>
  <si>
    <t>082091 - Közművelődés – közösségi és társadalmi részvétel fejlesztése</t>
  </si>
  <si>
    <t>082091 - Közművelődés - közösségi és társadalmi részvétel fejlesztése</t>
  </si>
  <si>
    <t>Szociális hozzájárulási adó kiadásai</t>
  </si>
  <si>
    <t>Egyéb civil, vagy más nonprofit szervezetek egyéb működési célú támogatások kiadásai</t>
  </si>
  <si>
    <t>Diákönkormányzat</t>
  </si>
  <si>
    <t>Vöröskereszt</t>
  </si>
  <si>
    <t>Piliscsév SE</t>
  </si>
  <si>
    <t>Szlovák Baráti Kör</t>
  </si>
  <si>
    <t>Asszonykórus Piliscsév</t>
  </si>
  <si>
    <t>Nyugdíjas Klub</t>
  </si>
  <si>
    <t xml:space="preserve">Pincefalu Egyesület </t>
  </si>
  <si>
    <t>Piliscsévi Polgárőr Egyesület</t>
  </si>
  <si>
    <t>Ister Granum</t>
  </si>
  <si>
    <t>Piliscsévi Szlovák Önkormányzat</t>
  </si>
  <si>
    <t>Katolikus Karitász</t>
  </si>
  <si>
    <t>Trnka Tánccsoport</t>
  </si>
  <si>
    <t>Natúrpark</t>
  </si>
  <si>
    <t>Esztergomi Kórház, eü-i, egyedi kérelmek</t>
  </si>
  <si>
    <t>Duna-Pilis-Gerecse Társulás</t>
  </si>
  <si>
    <t>Dorog és Térsége Turizmus Egyesület tagíj</t>
  </si>
  <si>
    <t>104035 - Gyermekétkeztetés bölcsődében, fogyatékosok nappali intézményében</t>
  </si>
  <si>
    <t>Vásárolt élelmezés teljesítése</t>
  </si>
  <si>
    <t>104042 - Család-, és gyermekjóléti szolgáltatások</t>
  </si>
  <si>
    <t xml:space="preserve">104042 - Család-, és gyermekjóléti szolgáltatások </t>
  </si>
  <si>
    <t>Egyéb üzemeltetési anyagok  - szociális tüzifa I.</t>
  </si>
  <si>
    <t>05481</t>
  </si>
  <si>
    <t>ebből: piliscsévi gyerekek bérlet támogatása</t>
  </si>
  <si>
    <t>ebből: időskorúak támogatása (Karácsonykor)</t>
  </si>
  <si>
    <t>ebből: Babautalvány</t>
  </si>
  <si>
    <t xml:space="preserve">ebből: ösztöndíj támogatás </t>
  </si>
  <si>
    <t>Egyéb települési támogatás (lakásfenntartási tám., átmeneti segély, gyógyszerköltség, kórházi ápolás, temetési segély, tűzifa segély, étkezési térítési díj)</t>
  </si>
  <si>
    <t>Köztemetés (Szoc.tv.48.§)</t>
  </si>
  <si>
    <t>Köztemetés (Szoc.tv. 48.§)</t>
  </si>
  <si>
    <t>094031</t>
  </si>
  <si>
    <t>Közvetített szolgáltatások ellenértéke</t>
  </si>
  <si>
    <t>09741</t>
  </si>
  <si>
    <t>Háztartásoktól felhalmozási célú visszatérítendő támogatások, kölcsönök visszatérülése</t>
  </si>
  <si>
    <t>ebből: önkormányzati hivatal működésének támogatása</t>
  </si>
  <si>
    <t>ebből: a finanszírozás szempontjából elismert szakmai dolgozók bértámotatása - bölcsőde</t>
  </si>
  <si>
    <t>091161</t>
  </si>
  <si>
    <t>Leányvár Cselgáncs Klub</t>
  </si>
  <si>
    <t>Közös Hivatalnak átadott irányító szervi támogatás</t>
  </si>
  <si>
    <t>Tér-Háló rendezési terv</t>
  </si>
  <si>
    <t>Immateriális javak beszerzése, létesítése tartalékból</t>
  </si>
  <si>
    <t>066020 - Város-, és községgazdálkodási egyéb szolgáltatások</t>
  </si>
  <si>
    <t>09251</t>
  </si>
  <si>
    <t>Fejezeti kezelésű EI-tól EU-s programok és azok hazai társfinanszírozása miatt felhalmozási célú támogatások bevételei (Identitás pályázat)</t>
  </si>
  <si>
    <t>104031 - Gyermekek bölcsődében és mini bölcsődében történő ellátása</t>
  </si>
  <si>
    <t>093351</t>
  </si>
  <si>
    <t>Tartózkodás után fizetett idegenforgalmi adó bevételei</t>
  </si>
  <si>
    <t>Egyéb tárgyi eszköz beszerzése, létesítése</t>
  </si>
  <si>
    <t>Béren kívüli juttatások</t>
  </si>
  <si>
    <t>053351</t>
  </si>
  <si>
    <t>Közvetített szolgáltatások Áht-on kívülre</t>
  </si>
  <si>
    <t>Települési támogatás [Szoctv. 45.§]</t>
  </si>
  <si>
    <t>054871</t>
  </si>
  <si>
    <t>09355011</t>
  </si>
  <si>
    <t>Tartózkodás után fizetett idegenforgalmi adó</t>
  </si>
  <si>
    <t>095221</t>
  </si>
  <si>
    <t>Földterületek eladása</t>
  </si>
  <si>
    <t>Felhalm.c. kölcsön visszatérülése</t>
  </si>
  <si>
    <t>0925   Felhalmozási célú önkormányzati támogatások</t>
  </si>
  <si>
    <t>013350 - Az önkormányzati vagyonnal való gazdálkoással kapcsolatos feladatok</t>
  </si>
  <si>
    <t>041233 - Hosszabb időtartamú közfoglalkoztatás</t>
  </si>
  <si>
    <t>041236 - Országos közfoglalkoztatási program</t>
  </si>
  <si>
    <t>104042 - Család- és gyermekjóléti szolgáltatások</t>
  </si>
  <si>
    <t>Központi költségvetési szervnek egyéb működési célú végleges támogatás kiadásai</t>
  </si>
  <si>
    <t>Társulásnak és költségvetési szervének egyéb működési célú végleges támogatás kiad.</t>
  </si>
  <si>
    <t>0550631</t>
  </si>
  <si>
    <t>062020 - Településfejlesztési projektek és támogatásuk</t>
  </si>
  <si>
    <t>Ingatlanok felújítása előirányzata - orvosi</t>
  </si>
  <si>
    <t>áttéve a 018030-as kormányzati funkcióra</t>
  </si>
  <si>
    <t>0511011</t>
  </si>
  <si>
    <t>szociálped.</t>
  </si>
  <si>
    <t>Ingatlanok felújítása előirányzata</t>
  </si>
  <si>
    <t>Központi kezelésű előirányzattól működési célú támogatások bevételei</t>
  </si>
  <si>
    <t>Működési célú végleges támogatás kiadásai</t>
  </si>
  <si>
    <t>Változás</t>
  </si>
  <si>
    <t>Eredeti EI</t>
  </si>
  <si>
    <t>ebből: bölcsődei üzemeltetés támogatása</t>
  </si>
  <si>
    <t>Tartalékok (elköt. pénzmaradv. terhére) útpályázat beérkezett előlege</t>
  </si>
  <si>
    <t>Dorog és Térsége Szociális Alapellátó Szolgálatnak átadott hozzájárulás</t>
  </si>
  <si>
    <t>Dorog és Térsége Szociális Családsegítésre átadott hozzájárulás</t>
  </si>
  <si>
    <t>Bursa ösztöndíjakra átadott támogatás</t>
  </si>
  <si>
    <t xml:space="preserve">Gyermekétkeztetés normatíva: </t>
  </si>
  <si>
    <t>Identitás pályázat befolyt összegéből szabad maradvány: 4443000</t>
  </si>
  <si>
    <t>Tulajdonosi bevételek (faház, tak.szöv.bérleti díja)</t>
  </si>
  <si>
    <t>Kiadások visszatérítései (orvosi épület bérleti díja)</t>
  </si>
  <si>
    <t>Felhalmozási célú önkormányzati támogatások teljesítése (Visszmajor pályázaton elnyert összeg)</t>
  </si>
  <si>
    <t>I/5.sz. melléklet</t>
  </si>
  <si>
    <t>Bankszámlán lévő egyenleg (főszámla):</t>
  </si>
  <si>
    <t>Gépjárműadó számlán maradó egyenleg:</t>
  </si>
  <si>
    <t>Idegen bevétel számlán maradó egyenleg:</t>
  </si>
  <si>
    <t>Összes banki egyenleg:</t>
  </si>
  <si>
    <t>Pénzmaradványt csökkentő tételek</t>
  </si>
  <si>
    <t xml:space="preserve">Összesen: </t>
  </si>
  <si>
    <t>Illeték bevétel számlán maradó egyenleg:</t>
  </si>
  <si>
    <t>MÁK Pályázati számlán maradó egyenleg (út felújítása):</t>
  </si>
  <si>
    <t>MÁK Pályázati számlán maradó egyenleg (identitás):</t>
  </si>
  <si>
    <t>MÁK Pályázati számlán maradó egyenleg (TOP pályázat):</t>
  </si>
  <si>
    <t>Visszmajor pály.</t>
  </si>
  <si>
    <t xml:space="preserve">Képviselők tiszteletdíja </t>
  </si>
  <si>
    <t>Elkülönített állami pénzalaptól működési célú támogatások bevételei (nyári diákmunkások támogatása)</t>
  </si>
  <si>
    <t>0511061</t>
  </si>
  <si>
    <t>Jubileumi jutalom</t>
  </si>
  <si>
    <t>Ingatlan beszerzése, létesítése</t>
  </si>
  <si>
    <t>ingatlan, telek</t>
  </si>
  <si>
    <t>Ingatlan felújítása</t>
  </si>
  <si>
    <t>092131</t>
  </si>
  <si>
    <t>Kolibri Táncegyesület</t>
  </si>
  <si>
    <t>Egyéb támogatások (Pilis Kupa, stb.)</t>
  </si>
  <si>
    <t>ebből: egyéb önkormányzati feladatok támogatása</t>
  </si>
  <si>
    <t>ebből: lakott külterülettel kapcs. Feladatok támogatása</t>
  </si>
  <si>
    <t>0550831</t>
  </si>
  <si>
    <t>Háztartásoknak működési célú visszatérítendő támogatás, kölcsön nyújtás kiadásai</t>
  </si>
  <si>
    <t>Oláh Gábor</t>
  </si>
  <si>
    <t>Kókai Balázs</t>
  </si>
  <si>
    <t>Védőnő normatíva:</t>
  </si>
  <si>
    <t>EP</t>
  </si>
  <si>
    <t>Betegszabadság</t>
  </si>
  <si>
    <t>bankköltség</t>
  </si>
  <si>
    <t>szoc. normatíva:</t>
  </si>
  <si>
    <t>munkaruha</t>
  </si>
  <si>
    <t>Béren kívüli</t>
  </si>
  <si>
    <t>Ludové Noviny</t>
  </si>
  <si>
    <t>egyéb szakmai anyag beszerzése</t>
  </si>
  <si>
    <t>24 óra</t>
  </si>
  <si>
    <t>Egyéb üzemeltetési anyagok</t>
  </si>
  <si>
    <t>Borlai számítógép üzemeltetés</t>
  </si>
  <si>
    <t>Szerver üzemeltetés (Comp-L)</t>
  </si>
  <si>
    <t>AAM</t>
  </si>
  <si>
    <t>Telekom internetdíj</t>
  </si>
  <si>
    <t>telefonszámla</t>
  </si>
  <si>
    <t>Nyomtató bérleti díj (Konika Mivolta)</t>
  </si>
  <si>
    <t>Fiókbérleti díj</t>
  </si>
  <si>
    <t>Egyéb bérleti díjak</t>
  </si>
  <si>
    <t>Példányszám (Konika Mivolta)</t>
  </si>
  <si>
    <t>Egyéb karbantartási szolgáltatások</t>
  </si>
  <si>
    <t>Youtube csatorna kezelése (Borlai)</t>
  </si>
  <si>
    <t>Síkosságmentesítés</t>
  </si>
  <si>
    <t>Síkosságmentesítás rendelkezésre állás</t>
  </si>
  <si>
    <t>15000/óra</t>
  </si>
  <si>
    <t>09355391</t>
  </si>
  <si>
    <t>Talajterhelési díj bevételei</t>
  </si>
  <si>
    <t>esküvők</t>
  </si>
  <si>
    <t>Topor fennmaradó év elején:</t>
  </si>
  <si>
    <t>Csilléné Ijjas Petra fennmradó</t>
  </si>
  <si>
    <t>idén esedékes</t>
  </si>
  <si>
    <t>Kati számla</t>
  </si>
  <si>
    <t>Duster</t>
  </si>
  <si>
    <t>egyéb karbantartás</t>
  </si>
  <si>
    <t>Bankköltség</t>
  </si>
  <si>
    <t>egyéb</t>
  </si>
  <si>
    <t>cégautóadó</t>
  </si>
  <si>
    <t>KIA üzemanyag</t>
  </si>
  <si>
    <t>üzemanyag gépekbe</t>
  </si>
  <si>
    <t>Üzemanyag</t>
  </si>
  <si>
    <t>Duster karbantartás</t>
  </si>
  <si>
    <t xml:space="preserve">KIA karbantartása </t>
  </si>
  <si>
    <t>wifi eu</t>
  </si>
  <si>
    <t>Lodgy üzemanyag</t>
  </si>
  <si>
    <t>Lodgy karbantartás</t>
  </si>
  <si>
    <t>Elkülönített állami pénzalaptól működési célú támogatások bevételei (földalapú támogatás)</t>
  </si>
  <si>
    <t>0550637</t>
  </si>
  <si>
    <t>Hristov-Todorov Judit</t>
  </si>
  <si>
    <t>Tartalékok (elköt.pénzmaradv.terhére) Identitás pályázat</t>
  </si>
  <si>
    <t>Tartalékok (elköt.pénzmaradv.terhére) Közfoglalkoztatottak</t>
  </si>
  <si>
    <t>104030 - Gyermekek napközbeni ellátása</t>
  </si>
  <si>
    <t>Működési célű előzetesen felszámított áfa</t>
  </si>
  <si>
    <t>Egyéb működési bevételek előirányzata</t>
  </si>
  <si>
    <t>Béren kívüli juttatás</t>
  </si>
  <si>
    <t>074040 - Fertőző megbetegedések megelőzése, járványügyi ellátás</t>
  </si>
  <si>
    <t>Működési célú előzetesen felszámított általános forgalmi adó teljesítése</t>
  </si>
  <si>
    <t>053313</t>
  </si>
  <si>
    <t>2021. eredeti EI</t>
  </si>
  <si>
    <t>projektor, vetítő</t>
  </si>
  <si>
    <t>Csévi Kisbíró</t>
  </si>
  <si>
    <t>rendezési terv módosítások</t>
  </si>
  <si>
    <t>Rendelő</t>
  </si>
  <si>
    <t>2022. évi költségvetés eredeti előirányzata</t>
  </si>
  <si>
    <t>2022. évi eredeti EI</t>
  </si>
  <si>
    <t>ebből: Óvodaműködtetési támogatás</t>
  </si>
  <si>
    <t>ebből: Pedagógusok átlagbéralapú támogatása</t>
  </si>
  <si>
    <t>ebből:  segítők átlagbéralapú támogatása</t>
  </si>
  <si>
    <t>ebből: nemzetiségi támogatás</t>
  </si>
  <si>
    <t>091132</t>
  </si>
  <si>
    <t>Települési önkormányzatok gyermekétkeztetési feladatainak támogatása</t>
  </si>
  <si>
    <t>Települési önkormányzatok szociális, gyermekjóléti feladatainak támogatása</t>
  </si>
  <si>
    <t>ebből: rászoruló gyermekek szünidei étkeztetésének tám.</t>
  </si>
  <si>
    <t>Szja</t>
  </si>
  <si>
    <t>Lodgy karbantartási anyag</t>
  </si>
  <si>
    <t>elektromos kerékpár karbantartás</t>
  </si>
  <si>
    <t>általános karbantartás</t>
  </si>
  <si>
    <t>orvosi alkalmasság, eg.kiskönyv</t>
  </si>
  <si>
    <t>2022. eredeti EI</t>
  </si>
  <si>
    <t>SZJA</t>
  </si>
  <si>
    <t>Járulékok összesen:</t>
  </si>
  <si>
    <t>Járulékok</t>
  </si>
  <si>
    <t>Telekom internetszolgáltatás</t>
  </si>
  <si>
    <t>Telekom telefonszámla</t>
  </si>
  <si>
    <t>oktatás</t>
  </si>
  <si>
    <t>helyettesítés</t>
  </si>
  <si>
    <t>Megbízási díj</t>
  </si>
  <si>
    <t>Bedő Viktória</t>
  </si>
  <si>
    <t>Szocho</t>
  </si>
  <si>
    <t>gépek anyagköltségei, karb.anyagktg.</t>
  </si>
  <si>
    <t>Ebrendészeti feladatok</t>
  </si>
  <si>
    <t>Ebtartás, altatás</t>
  </si>
  <si>
    <t>Óvodának bölcsődére</t>
  </si>
  <si>
    <t>Polgármester ktgtérítése 2021.11hó</t>
  </si>
  <si>
    <t>Önkormányzati egyéb megbízások</t>
  </si>
  <si>
    <t>Urbanics utca 1 áram</t>
  </si>
  <si>
    <t>Urbanics utca 1 víz</t>
  </si>
  <si>
    <t>Urbanics utca 1 gáz</t>
  </si>
  <si>
    <t>Faház áram</t>
  </si>
  <si>
    <t>Iskola utca 10 áram</t>
  </si>
  <si>
    <t>Iskola utca 10 víz</t>
  </si>
  <si>
    <t>Iskola utca 10 gáz</t>
  </si>
  <si>
    <t>Hanganov</t>
  </si>
  <si>
    <t>december</t>
  </si>
  <si>
    <t>Kovács Kristóf</t>
  </si>
  <si>
    <t>Taki</t>
  </si>
  <si>
    <t>Iskola 10</t>
  </si>
  <si>
    <t>Velmovszki</t>
  </si>
  <si>
    <t>Dr. Borbola</t>
  </si>
  <si>
    <t>Dr. Bio</t>
  </si>
  <si>
    <t>MedAnna Bt.</t>
  </si>
  <si>
    <t>Tartalékok (elköt. pénzmaradv. terhére) Iskola energetika támogatás</t>
  </si>
  <si>
    <t>Tartalékok (elköt. Pénzmaradv. Terhére) Iskola energetika önerő</t>
  </si>
  <si>
    <t>Tartalékok (elköt. Pénzmaradv. Terhére) Kesztölci utca önerő</t>
  </si>
  <si>
    <t>Tartalékok (elköt. Pénzmaradv. Terhére) MFP előkészítés</t>
  </si>
  <si>
    <t>Gondi Béláné</t>
  </si>
  <si>
    <t>Weizner Erzsébet</t>
  </si>
  <si>
    <t>Karnai Lászlóné</t>
  </si>
  <si>
    <t>Tartalékok (elköt. Pénzmaradv. Terhére) 2021. évi szoc tüzifa szállítás</t>
  </si>
  <si>
    <t>MÁK Pályázati számlán maradó egyenleg (Iskola energetika):</t>
  </si>
  <si>
    <t>Tartalékok (elköt. Pénzmaradv. Terhére) 2021. évre vonatkozó visszafizetés</t>
  </si>
  <si>
    <t>Piliscsév Község Önkormányzata 2021. költségvetési évre 2022-ről átvihető pénzmaradványa</t>
  </si>
  <si>
    <t>Polgármester jutalom</t>
  </si>
  <si>
    <t>2023. évi eredeti EI</t>
  </si>
  <si>
    <t>következő évre átvitt</t>
  </si>
  <si>
    <t>6 hónapra tervezve</t>
  </si>
  <si>
    <t>Polgármester bér</t>
  </si>
  <si>
    <t>Alpolgármester tiszteletdíja</t>
  </si>
  <si>
    <t>Alpolgármester ktgtérítése</t>
  </si>
  <si>
    <t>Polgármester szép kártya</t>
  </si>
  <si>
    <t>Vincent Auditor</t>
  </si>
  <si>
    <t>Egészségműhely</t>
  </si>
  <si>
    <t>Kalásznet</t>
  </si>
  <si>
    <t>hrsz 387</t>
  </si>
  <si>
    <t xml:space="preserve">Kiküldetések kiadásai </t>
  </si>
  <si>
    <t>ebből: közvill kiegészítés</t>
  </si>
  <si>
    <t>ebből: üzemeltetési támogatás</t>
  </si>
  <si>
    <t>Gondi Győző 2022.12.hó</t>
  </si>
  <si>
    <t>Gondi Győző 2023. 11 hó</t>
  </si>
  <si>
    <t>0511031</t>
  </si>
  <si>
    <t>Jutalmak</t>
  </si>
  <si>
    <t>EP 2022</t>
  </si>
  <si>
    <t>EP 2023</t>
  </si>
  <si>
    <t>Védőnő bére</t>
  </si>
  <si>
    <t>Jutalom</t>
  </si>
  <si>
    <t>Kosztká Gáborné</t>
  </si>
  <si>
    <t>Konyhai dolgozó bére (Ijjas Ferencné) 2022.12.hó</t>
  </si>
  <si>
    <t>Konyhai dolgozó bére (Ijjas Ferencné) 2023.11 hó</t>
  </si>
  <si>
    <t>bankköltség hozzájárulás</t>
  </si>
  <si>
    <t>Ijjas Fné</t>
  </si>
  <si>
    <t>Tartalékok (elköt. pénzmaradv. terhére) Bölcsőde fejlesztés</t>
  </si>
  <si>
    <t>Tartalékok (elköt. Pénzmaradv. Terhére) Iskola energetika</t>
  </si>
  <si>
    <t>Tartalékok (elköt. Pénzmaradv. Terhére) Közösségszervezés</t>
  </si>
  <si>
    <t>Általános Tartalék</t>
  </si>
  <si>
    <t>Tartalékok (elköt. Pénzmaradv. Terhére) 2022. évi szoc tüzifa</t>
  </si>
  <si>
    <t>Tartalékok (elköt. Pénzmaradv. Terhére) Petőfi S. játszótér</t>
  </si>
  <si>
    <t>kerekítések</t>
  </si>
  <si>
    <t>műszaki vizsga</t>
  </si>
  <si>
    <t>egyéb beszerzés</t>
  </si>
  <si>
    <t>094021</t>
  </si>
  <si>
    <t>szoc tüzifa</t>
  </si>
  <si>
    <t>szoc tüzifa áfa</t>
  </si>
  <si>
    <t>ebből: Szlanka Henrietta</t>
  </si>
  <si>
    <t>ebből: Strbik Attila</t>
  </si>
  <si>
    <t>ebből: Székely Józsefné</t>
  </si>
  <si>
    <t>ebből: Pacsics Julianna</t>
  </si>
  <si>
    <t>ebből: Janovszki Gergő, Sélley Vivien Virág</t>
  </si>
  <si>
    <t>ebből: Rumpli Józsefné</t>
  </si>
  <si>
    <t>2022. évi elszámolásból eredő bevétel</t>
  </si>
  <si>
    <t>Elszámolásból származó bevételek - 2022. évi pótigénylés</t>
  </si>
  <si>
    <t>Petőfi S. játszóeszközök</t>
  </si>
  <si>
    <t xml:space="preserve">Illetmények </t>
  </si>
  <si>
    <t>Közösségszervezés</t>
  </si>
  <si>
    <t>Üzemeltetési anyagok</t>
  </si>
  <si>
    <t>MFP előkészítés</t>
  </si>
  <si>
    <t>Működési célú előzetesen felszámított általános forgalmi adó (közösségszervezés)</t>
  </si>
  <si>
    <t>Informatikai eszközök beszerzése</t>
  </si>
  <si>
    <t>Tárgyi eszköz beszerzés</t>
  </si>
  <si>
    <t>MFP előkészítés áfa</t>
  </si>
  <si>
    <t>Illetmények</t>
  </si>
  <si>
    <t>Iskola felújítás</t>
  </si>
  <si>
    <t>Bölcsőde felújítás</t>
  </si>
  <si>
    <t>Bölcsőde eszköz besz</t>
  </si>
  <si>
    <t>játszótér áfa</t>
  </si>
  <si>
    <t>bölcsőde áfa</t>
  </si>
  <si>
    <t>egyéb áfa</t>
  </si>
  <si>
    <t>Iskola felújítás áfa</t>
  </si>
  <si>
    <t>Bölcsőde felújítás áfa</t>
  </si>
  <si>
    <t>I.  sz módosítás</t>
  </si>
  <si>
    <t>I. sz módosítás</t>
  </si>
  <si>
    <t>ebből: 2023. évi bérintézkedés</t>
  </si>
  <si>
    <t>ebből: Szivekné Vojczek Zsuzsa</t>
  </si>
  <si>
    <t>Elszámolásból származó bevételek</t>
  </si>
  <si>
    <t>074032 - Ifjúsági-egészségügyi gondozás</t>
  </si>
  <si>
    <t>Egyéb működési célú támogatások bevételei államháztartáson belülről (iskola eü)</t>
  </si>
  <si>
    <t>Művelődési Háznak átadott bérkiegészítés</t>
  </si>
  <si>
    <t>Óvodának átadott bérkiegészítés</t>
  </si>
  <si>
    <t>Óvodának bölcsődére bérkiegészítés</t>
  </si>
  <si>
    <t>Balázs Márta Mariann</t>
  </si>
  <si>
    <t>Bérleti díjak</t>
  </si>
  <si>
    <t>ebből: Pedagógus II. minősítés</t>
  </si>
  <si>
    <t>Közös Hivatalnak átadott bérkiegészítés</t>
  </si>
  <si>
    <t>II. sz módosítás</t>
  </si>
  <si>
    <t>Teljesülés</t>
  </si>
  <si>
    <t>2023. évi költségvetés II. számú előirányzat módosítás</t>
  </si>
  <si>
    <t>II.sz módosítás</t>
  </si>
  <si>
    <t>091635</t>
  </si>
  <si>
    <t>0916331</t>
  </si>
  <si>
    <t>Vogyeraczki Zsolt</t>
  </si>
  <si>
    <t>0925331</t>
  </si>
  <si>
    <t>Felhalmozási célú önkormányzati támogatások teljesítése (Bölcsőde fejlesztés)</t>
  </si>
  <si>
    <t>09411</t>
  </si>
  <si>
    <t>Kiadások visszatérítései (védőnői költségek)</t>
  </si>
  <si>
    <t>ebből: szociális célú tüzelőanyag támogatás</t>
  </si>
  <si>
    <t>05861</t>
  </si>
  <si>
    <t>Felhalmozási célú visszatérítendő támogatások</t>
  </si>
  <si>
    <t>Karbantartási szolgáltatás</t>
  </si>
  <si>
    <t>Karbantartási szolgáltatások</t>
  </si>
  <si>
    <t>2023.évi pályázat</t>
  </si>
  <si>
    <t>Kirs Gergő</t>
  </si>
  <si>
    <t>telefon készülék</t>
  </si>
  <si>
    <t>gázdíj</t>
  </si>
  <si>
    <t>Szemészet</t>
  </si>
  <si>
    <t>bursa</t>
  </si>
  <si>
    <t>tanulmányi</t>
  </si>
  <si>
    <t>faszállítás</t>
  </si>
  <si>
    <t>babák</t>
  </si>
  <si>
    <t>karácsony</t>
  </si>
  <si>
    <t>mosópor</t>
  </si>
  <si>
    <t>öblíítő</t>
  </si>
  <si>
    <t>papírtörlő</t>
  </si>
  <si>
    <t>wc papír</t>
  </si>
  <si>
    <t>Informatikai eszköz beszerzése, létesítése</t>
  </si>
  <si>
    <t>Pintér Barbara</t>
  </si>
  <si>
    <t>Vogyi Zs., Pintér B</t>
  </si>
  <si>
    <t>ebből: pótlék</t>
  </si>
  <si>
    <t>Művelődési Háznak átadott kiegészítő támogatás</t>
  </si>
  <si>
    <t>013320 - Köztemető-fenntartás és -működés</t>
  </si>
  <si>
    <t>ebből: kiegészítő támogatás</t>
  </si>
  <si>
    <t>II.  sz módosítás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</si>
</sst>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#,##0\ &quot;Ft&quot;;[Red]\-#,##0\ &quot;Ft&quot;"/>
    <numFmt numFmtId="164" formatCode="_-* #,##0.00,_F_t_-;\-* #,##0.00,_F_t_-;_-* \-??\ _F_t_-;_-@_-"/>
    <numFmt numFmtId="165" formatCode="_-* #,##0,_F_t_-;\-* #,##0,_F_t_-;_-* \-??\ _F_t_-;_-@_-"/>
    <numFmt numFmtId="166" formatCode="_-* #,##0.00,&quot;Ft&quot;_-;\-* #,##0.00,&quot;Ft&quot;_-;_-* \-??&quot; Ft&quot;_-;_-@_-"/>
    <numFmt numFmtId="167" formatCode="_-* #,##0,&quot;Ft&quot;_-;\-* #,##0,&quot;Ft&quot;_-;_-* \-??&quot; Ft&quot;_-;_-@_-"/>
    <numFmt numFmtId="168" formatCode="#,##0_ ;\-#,##0\ "/>
    <numFmt numFmtId="169" formatCode="#,##0,&quot;Ft&quot;"/>
    <numFmt numFmtId="170" formatCode="#,##0&quot; Ft&quot;;[Red]\-#,##0&quot; Ft&quot;"/>
    <numFmt numFmtId="171" formatCode="0.0%"/>
    <numFmt numFmtId="172" formatCode="#,##0.0"/>
    <numFmt numFmtId="173" formatCode="#,##0\ &quot;Ft&quot;"/>
    <numFmt numFmtId="174" formatCode="#,##0\ _F_t"/>
  </numFmts>
  <fonts count="77" x14ac:knownFonts="1">
    <font>
      <sz val="10"/>
      <name val="Arial"/>
      <family val="2"/>
      <charset val="1"/>
    </font>
    <font>
      <sz val="11"/>
      <name val="Traditional Arabic"/>
      <family val="1"/>
      <charset val="1"/>
    </font>
    <font>
      <b/>
      <sz val="11"/>
      <name val="Traditional Arabic"/>
      <family val="1"/>
      <charset val="1"/>
    </font>
    <font>
      <i/>
      <sz val="11"/>
      <name val="Traditional Arabic"/>
      <family val="1"/>
      <charset val="1"/>
    </font>
    <font>
      <b/>
      <i/>
      <sz val="11"/>
      <name val="Traditional Arabic"/>
      <family val="1"/>
      <charset val="1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1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1"/>
    </font>
    <font>
      <sz val="10"/>
      <color rgb="FFFF0000"/>
      <name val="Arial"/>
      <family val="2"/>
      <charset val="1"/>
    </font>
    <font>
      <b/>
      <sz val="12"/>
      <name val="Times New Roman"/>
      <family val="1"/>
      <charset val="238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rgb="FF333333"/>
      <name val="Verdana"/>
      <family val="2"/>
      <charset val="238"/>
    </font>
    <font>
      <b/>
      <sz val="10"/>
      <name val="Times New Roman"/>
      <family val="1"/>
      <charset val="238"/>
    </font>
    <font>
      <sz val="7"/>
      <name val="Verdana"/>
      <family val="2"/>
      <charset val="238"/>
    </font>
    <font>
      <b/>
      <sz val="7"/>
      <name val="Verdana"/>
      <family val="2"/>
      <charset val="238"/>
    </font>
    <font>
      <sz val="7"/>
      <color rgb="FF333333"/>
      <name val="Verdana"/>
      <family val="2"/>
      <charset val="238"/>
    </font>
    <font>
      <sz val="10"/>
      <color rgb="FFFFFFFF"/>
      <name val="Arial"/>
      <family val="2"/>
      <charset val="1"/>
    </font>
    <font>
      <i/>
      <sz val="7"/>
      <color rgb="FF333333"/>
      <name val="Verdana"/>
      <family val="2"/>
      <charset val="238"/>
    </font>
    <font>
      <i/>
      <sz val="7"/>
      <name val="Verdana"/>
      <family val="2"/>
      <charset val="238"/>
    </font>
    <font>
      <i/>
      <sz val="10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b/>
      <sz val="8"/>
      <name val="Times New Roman"/>
      <family val="1"/>
      <charset val="238"/>
    </font>
    <font>
      <i/>
      <sz val="8"/>
      <name val="Arial"/>
      <family val="2"/>
      <charset val="238"/>
    </font>
    <font>
      <i/>
      <sz val="8"/>
      <name val="Times New Roman"/>
      <family val="1"/>
      <charset val="1"/>
    </font>
    <font>
      <i/>
      <sz val="8"/>
      <name val="Arial"/>
      <family val="2"/>
      <charset val="1"/>
    </font>
    <font>
      <i/>
      <sz val="9"/>
      <name val="Times New Roman"/>
      <family val="1"/>
      <charset val="238"/>
    </font>
    <font>
      <sz val="8"/>
      <name val="Arial"/>
      <family val="2"/>
      <charset val="1"/>
    </font>
    <font>
      <i/>
      <sz val="10"/>
      <color rgb="FFC0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7"/>
      <name val="Verdana"/>
      <family val="2"/>
      <charset val="238"/>
    </font>
    <font>
      <i/>
      <sz val="7"/>
      <color rgb="FFC00000"/>
      <name val="Verdana"/>
      <family val="2"/>
      <charset val="238"/>
    </font>
    <font>
      <sz val="7"/>
      <name val="Arial"/>
      <family val="2"/>
      <charset val="238"/>
    </font>
    <font>
      <sz val="10"/>
      <color rgb="FF385724"/>
      <name val="Arial"/>
      <family val="2"/>
      <charset val="1"/>
    </font>
    <font>
      <sz val="10"/>
      <name val="Arial"/>
      <family val="2"/>
      <charset val="1"/>
    </font>
    <font>
      <i/>
      <sz val="10"/>
      <color rgb="FFFF0000"/>
      <name val="Arial"/>
      <family val="2"/>
      <charset val="1"/>
    </font>
    <font>
      <i/>
      <sz val="11"/>
      <name val="Traditional Arabic"/>
      <family val="1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 CE"/>
      <family val="2"/>
      <charset val="238"/>
    </font>
    <font>
      <i/>
      <sz val="7"/>
      <color rgb="FFFF0000"/>
      <name val="Verdana"/>
      <family val="2"/>
      <charset val="238"/>
    </font>
    <font>
      <i/>
      <sz val="7"/>
      <color rgb="FF385724"/>
      <name val="Verdana"/>
      <family val="2"/>
      <charset val="238"/>
    </font>
    <font>
      <i/>
      <sz val="8"/>
      <name val="Times New Roman"/>
      <family val="1"/>
      <charset val="238"/>
    </font>
    <font>
      <b/>
      <i/>
      <sz val="7"/>
      <color theme="9"/>
      <name val="Verdana"/>
      <family val="2"/>
      <charset val="238"/>
    </font>
    <font>
      <b/>
      <sz val="10"/>
      <color theme="9"/>
      <name val="Arial"/>
      <family val="2"/>
      <charset val="238"/>
    </font>
    <font>
      <i/>
      <sz val="8"/>
      <color rgb="FFFF0000"/>
      <name val="Verdana"/>
      <family val="2"/>
      <charset val="238"/>
    </font>
    <font>
      <b/>
      <sz val="11"/>
      <name val="Traditional Arabic"/>
      <family val="1"/>
    </font>
    <font>
      <sz val="11"/>
      <name val="Traditional Arabic"/>
      <family val="1"/>
    </font>
    <font>
      <sz val="10"/>
      <name val="Traditional Arabic"/>
      <family val="1"/>
    </font>
    <font>
      <sz val="9"/>
      <color rgb="FF333333"/>
      <name val="Times New Roman"/>
      <family val="1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i/>
      <sz val="9"/>
      <color rgb="FFFF0000"/>
      <name val="Calibri Light"/>
      <family val="2"/>
      <charset val="238"/>
    </font>
    <font>
      <b/>
      <sz val="9"/>
      <color rgb="FFFF0000"/>
      <name val="Calibri Light"/>
      <family val="2"/>
      <charset val="238"/>
    </font>
    <font>
      <sz val="9"/>
      <color rgb="FF333333"/>
      <name val="Calibri Light"/>
      <family val="2"/>
      <charset val="238"/>
    </font>
    <font>
      <i/>
      <sz val="9"/>
      <name val="Calibri Light"/>
      <family val="2"/>
      <charset val="238"/>
    </font>
    <font>
      <b/>
      <i/>
      <sz val="9"/>
      <color theme="9"/>
      <name val="Calibri Light"/>
      <family val="2"/>
      <charset val="238"/>
    </font>
    <font>
      <sz val="9"/>
      <color rgb="FFFF0000"/>
      <name val="Calibri Light"/>
      <family val="2"/>
      <charset val="238"/>
    </font>
    <font>
      <i/>
      <sz val="9"/>
      <color rgb="FFC00000"/>
      <name val="Calibri Light"/>
      <family val="2"/>
      <charset val="238"/>
    </font>
    <font>
      <i/>
      <sz val="9"/>
      <color theme="9"/>
      <name val="Calibri Light"/>
      <family val="2"/>
      <charset val="238"/>
    </font>
    <font>
      <i/>
      <sz val="9"/>
      <color rgb="FF385724"/>
      <name val="Calibri Light"/>
      <family val="2"/>
      <charset val="238"/>
    </font>
    <font>
      <sz val="9"/>
      <name val="Arial"/>
      <family val="2"/>
      <charset val="1"/>
    </font>
    <font>
      <sz val="12"/>
      <name val="Times New Roman"/>
      <family val="1"/>
      <charset val="238"/>
    </font>
    <font>
      <sz val="8"/>
      <name val="Arial"/>
      <family val="2"/>
    </font>
    <font>
      <i/>
      <sz val="8"/>
      <name val="Arial"/>
      <family val="2"/>
    </font>
    <font>
      <i/>
      <sz val="8"/>
      <name val="Verdana"/>
      <family val="2"/>
      <charset val="238"/>
    </font>
    <font>
      <sz val="10"/>
      <name val="Berlin Sans FB"/>
      <family val="2"/>
    </font>
    <font>
      <i/>
      <sz val="10"/>
      <name val="Berlin Sans FB"/>
      <family val="2"/>
    </font>
    <font>
      <i/>
      <sz val="10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E699"/>
        <bgColor rgb="FFFFFF99"/>
      </patternFill>
    </fill>
    <fill>
      <patternFill patternType="solid">
        <fgColor rgb="FFDEEBF7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F8CBAD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99"/>
      </patternFill>
    </fill>
    <fill>
      <patternFill patternType="solid">
        <fgColor rgb="FFFAC090"/>
        <bgColor rgb="FFFFCC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8FAADC"/>
        <bgColor rgb="FF9DC3E6"/>
      </patternFill>
    </fill>
    <fill>
      <patternFill patternType="solid">
        <fgColor rgb="FF9DC3E6"/>
        <bgColor rgb="FF8FAADC"/>
      </patternFill>
    </fill>
    <fill>
      <patternFill patternType="solid">
        <fgColor rgb="FFBDD7EE"/>
        <bgColor rgb="FF9DC3E6"/>
      </patternFill>
    </fill>
    <fill>
      <patternFill patternType="solid">
        <fgColor rgb="FFCCFFFF"/>
        <bgColor rgb="FFCC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rgb="FF9DC3E6"/>
      </patternFill>
    </fill>
    <fill>
      <patternFill patternType="solid">
        <fgColor theme="5" tint="0.59999389629810485"/>
        <bgColor rgb="FFF8CBAD"/>
      </patternFill>
    </fill>
    <fill>
      <patternFill patternType="solid">
        <fgColor theme="5" tint="0.59999389629810485"/>
        <b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164" fontId="40" fillId="0" borderId="0" applyBorder="0">
      <protection locked="0"/>
    </xf>
    <xf numFmtId="166" fontId="16" fillId="0" borderId="0" applyBorder="0" applyProtection="0"/>
    <xf numFmtId="9" fontId="40" fillId="0" borderId="0" applyBorder="0">
      <protection locked="0"/>
    </xf>
  </cellStyleXfs>
  <cellXfs count="1030">
    <xf numFmtId="0" fontId="0" fillId="0" borderId="0" xfId="0"/>
    <xf numFmtId="0" fontId="1" fillId="0" borderId="0" xfId="0" applyFont="1"/>
    <xf numFmtId="0" fontId="2" fillId="2" borderId="0" xfId="0" applyFont="1" applyFill="1"/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/>
    </xf>
    <xf numFmtId="0" fontId="1" fillId="3" borderId="10" xfId="0" applyFont="1" applyFill="1" applyBorder="1"/>
    <xf numFmtId="49" fontId="3" fillId="4" borderId="10" xfId="3" applyNumberFormat="1" applyFont="1" applyFill="1" applyBorder="1" applyAlignment="1" applyProtection="1">
      <alignment horizontal="center"/>
    </xf>
    <xf numFmtId="165" fontId="40" fillId="0" borderId="13" xfId="1" applyNumberFormat="1" applyBorder="1">
      <protection locked="0"/>
    </xf>
    <xf numFmtId="165" fontId="40" fillId="0" borderId="14" xfId="1" applyNumberFormat="1" applyBorder="1">
      <protection locked="0"/>
    </xf>
    <xf numFmtId="49" fontId="3" fillId="3" borderId="12" xfId="0" applyNumberFormat="1" applyFont="1" applyFill="1" applyBorder="1" applyAlignment="1">
      <alignment horizontal="center"/>
    </xf>
    <xf numFmtId="0" fontId="1" fillId="3" borderId="15" xfId="0" applyFont="1" applyFill="1" applyBorder="1"/>
    <xf numFmtId="49" fontId="3" fillId="4" borderId="15" xfId="3" applyNumberFormat="1" applyFont="1" applyFill="1" applyBorder="1" applyAlignment="1" applyProtection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1" fillId="3" borderId="18" xfId="0" applyFont="1" applyFill="1" applyBorder="1"/>
    <xf numFmtId="49" fontId="3" fillId="4" borderId="18" xfId="3" applyNumberFormat="1" applyFont="1" applyFill="1" applyBorder="1" applyAlignment="1" applyProtection="1">
      <alignment horizontal="center"/>
    </xf>
    <xf numFmtId="165" fontId="40" fillId="0" borderId="20" xfId="1" applyNumberFormat="1" applyBorder="1">
      <protection locked="0"/>
    </xf>
    <xf numFmtId="165" fontId="40" fillId="0" borderId="21" xfId="1" applyNumberFormat="1" applyBorder="1">
      <protection locked="0"/>
    </xf>
    <xf numFmtId="49" fontId="4" fillId="3" borderId="1" xfId="0" applyNumberFormat="1" applyFont="1" applyFill="1" applyBorder="1" applyAlignment="1">
      <alignment horizontal="center"/>
    </xf>
    <xf numFmtId="3" fontId="2" fillId="4" borderId="3" xfId="0" applyNumberFormat="1" applyFont="1" applyFill="1" applyBorder="1" applyAlignment="1">
      <alignment horizontal="right"/>
    </xf>
    <xf numFmtId="165" fontId="40" fillId="0" borderId="2" xfId="1" applyNumberFormat="1" applyBorder="1">
      <protection locked="0"/>
    </xf>
    <xf numFmtId="49" fontId="3" fillId="3" borderId="24" xfId="0" applyNumberFormat="1" applyFont="1" applyFill="1" applyBorder="1" applyAlignment="1">
      <alignment horizontal="center"/>
    </xf>
    <xf numFmtId="49" fontId="3" fillId="4" borderId="10" xfId="0" applyNumberFormat="1" applyFont="1" applyFill="1" applyBorder="1" applyAlignment="1">
      <alignment horizontal="center"/>
    </xf>
    <xf numFmtId="165" fontId="40" fillId="0" borderId="27" xfId="1" applyNumberFormat="1" applyBorder="1">
      <protection locked="0"/>
    </xf>
    <xf numFmtId="165" fontId="40" fillId="0" borderId="28" xfId="1" applyNumberFormat="1" applyBorder="1">
      <protection locked="0"/>
    </xf>
    <xf numFmtId="0" fontId="0" fillId="2" borderId="0" xfId="0" applyFill="1"/>
    <xf numFmtId="165" fontId="40" fillId="0" borderId="33" xfId="1" applyNumberFormat="1" applyBorder="1">
      <protection locked="0"/>
    </xf>
    <xf numFmtId="49" fontId="4" fillId="3" borderId="34" xfId="0" applyNumberFormat="1" applyFont="1" applyFill="1" applyBorder="1" applyAlignment="1">
      <alignment horizontal="center"/>
    </xf>
    <xf numFmtId="49" fontId="3" fillId="4" borderId="20" xfId="0" applyNumberFormat="1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/>
    </xf>
    <xf numFmtId="3" fontId="1" fillId="0" borderId="0" xfId="3" applyNumberFormat="1" applyFont="1" applyBorder="1" applyProtection="1"/>
    <xf numFmtId="49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6" borderId="37" xfId="0" applyFont="1" applyFill="1" applyBorder="1" applyAlignment="1">
      <alignment horizontal="center" vertical="center" wrapText="1" shrinkToFit="1"/>
    </xf>
    <xf numFmtId="0" fontId="8" fillId="6" borderId="42" xfId="0" applyFont="1" applyFill="1" applyBorder="1" applyAlignment="1">
      <alignment horizontal="center" vertical="center" wrapText="1" shrinkToFit="1"/>
    </xf>
    <xf numFmtId="49" fontId="9" fillId="0" borderId="44" xfId="0" applyNumberFormat="1" applyFont="1" applyBorder="1" applyAlignment="1">
      <alignment vertical="center" wrapText="1" shrinkToFit="1"/>
    </xf>
    <xf numFmtId="3" fontId="9" fillId="0" borderId="9" xfId="0" applyNumberFormat="1" applyFont="1" applyBorder="1" applyAlignment="1">
      <alignment vertical="center" wrapText="1" shrinkToFit="1"/>
    </xf>
    <xf numFmtId="49" fontId="9" fillId="0" borderId="29" xfId="0" applyNumberFormat="1" applyFont="1" applyBorder="1" applyAlignment="1">
      <alignment vertical="center" wrapText="1" shrinkToFit="1"/>
    </xf>
    <xf numFmtId="49" fontId="9" fillId="0" borderId="30" xfId="0" applyNumberFormat="1" applyFont="1" applyBorder="1" applyAlignment="1">
      <alignment vertical="center" wrapText="1" shrinkToFit="1"/>
    </xf>
    <xf numFmtId="3" fontId="9" fillId="0" borderId="30" xfId="0" applyNumberFormat="1" applyFont="1" applyBorder="1" applyAlignment="1">
      <alignment vertical="center" wrapText="1" shrinkToFit="1"/>
    </xf>
    <xf numFmtId="3" fontId="9" fillId="0" borderId="12" xfId="0" applyNumberFormat="1" applyFont="1" applyBorder="1" applyAlignment="1">
      <alignment vertical="center" wrapText="1" shrinkToFit="1"/>
    </xf>
    <xf numFmtId="49" fontId="9" fillId="0" borderId="34" xfId="0" applyNumberFormat="1" applyFont="1" applyBorder="1" applyAlignment="1">
      <alignment vertical="center" wrapText="1" shrinkToFit="1"/>
    </xf>
    <xf numFmtId="49" fontId="9" fillId="0" borderId="35" xfId="0" applyNumberFormat="1" applyFont="1" applyBorder="1" applyAlignment="1">
      <alignment vertical="center" wrapText="1" shrinkToFit="1"/>
    </xf>
    <xf numFmtId="3" fontId="9" fillId="0" borderId="35" xfId="0" applyNumberFormat="1" applyFont="1" applyBorder="1" applyAlignment="1">
      <alignment vertical="center" wrapText="1" shrinkToFit="1"/>
    </xf>
    <xf numFmtId="3" fontId="9" fillId="0" borderId="17" xfId="0" applyNumberFormat="1" applyFont="1" applyBorder="1" applyAlignment="1">
      <alignment vertical="center" wrapText="1" shrinkToFit="1"/>
    </xf>
    <xf numFmtId="3" fontId="10" fillId="5" borderId="48" xfId="0" applyNumberFormat="1" applyFont="1" applyFill="1" applyBorder="1" applyAlignment="1">
      <alignment vertical="center" wrapText="1" shrinkToFit="1"/>
    </xf>
    <xf numFmtId="3" fontId="10" fillId="5" borderId="2" xfId="0" applyNumberFormat="1" applyFont="1" applyFill="1" applyBorder="1" applyAlignment="1">
      <alignment vertical="center" wrapText="1" shrinkToFit="1"/>
    </xf>
    <xf numFmtId="3" fontId="12" fillId="5" borderId="48" xfId="0" applyNumberFormat="1" applyFont="1" applyFill="1" applyBorder="1" applyAlignment="1">
      <alignment vertical="center" wrapText="1" shrinkToFit="1"/>
    </xf>
    <xf numFmtId="3" fontId="12" fillId="5" borderId="2" xfId="0" applyNumberFormat="1" applyFont="1" applyFill="1" applyBorder="1" applyAlignment="1">
      <alignment vertical="center" wrapText="1" shrinkToFit="1"/>
    </xf>
    <xf numFmtId="0" fontId="13" fillId="0" borderId="0" xfId="0" applyFont="1"/>
    <xf numFmtId="49" fontId="9" fillId="0" borderId="36" xfId="0" applyNumberFormat="1" applyFont="1" applyBorder="1" applyAlignment="1">
      <alignment vertical="center" wrapText="1" shrinkToFit="1"/>
    </xf>
    <xf numFmtId="49" fontId="9" fillId="0" borderId="37" xfId="0" applyNumberFormat="1" applyFont="1" applyBorder="1" applyAlignment="1">
      <alignment vertical="center" wrapText="1" shrinkToFit="1"/>
    </xf>
    <xf numFmtId="3" fontId="9" fillId="0" borderId="37" xfId="0" applyNumberFormat="1" applyFont="1" applyBorder="1" applyAlignment="1">
      <alignment vertical="center" wrapText="1" shrinkToFit="1"/>
    </xf>
    <xf numFmtId="3" fontId="9" fillId="0" borderId="43" xfId="0" applyNumberFormat="1" applyFont="1" applyBorder="1" applyAlignment="1">
      <alignment vertical="center" wrapText="1" shrinkToFit="1"/>
    </xf>
    <xf numFmtId="49" fontId="12" fillId="5" borderId="47" xfId="0" applyNumberFormat="1" applyFont="1" applyFill="1" applyBorder="1" applyAlignment="1">
      <alignment vertical="center" wrapText="1" shrinkToFit="1"/>
    </xf>
    <xf numFmtId="49" fontId="12" fillId="5" borderId="48" xfId="0" applyNumberFormat="1" applyFont="1" applyFill="1" applyBorder="1" applyAlignment="1">
      <alignment vertical="center" wrapText="1" shrinkToFit="1"/>
    </xf>
    <xf numFmtId="3" fontId="12" fillId="3" borderId="2" xfId="0" applyNumberFormat="1" applyFont="1" applyFill="1" applyBorder="1" applyAlignment="1">
      <alignment vertical="center" wrapText="1" shrinkToFit="1"/>
    </xf>
    <xf numFmtId="3" fontId="0" fillId="0" borderId="0" xfId="0" applyNumberFormat="1"/>
    <xf numFmtId="0" fontId="0" fillId="0" borderId="0" xfId="0" applyAlignment="1">
      <alignment horizontal="center"/>
    </xf>
    <xf numFmtId="167" fontId="16" fillId="0" borderId="0" xfId="2" applyNumberFormat="1" applyBorder="1" applyProtection="1"/>
    <xf numFmtId="167" fontId="7" fillId="0" borderId="0" xfId="2" applyNumberFormat="1" applyFont="1" applyBorder="1" applyAlignment="1" applyProtection="1">
      <alignment horizontal="right"/>
    </xf>
    <xf numFmtId="0" fontId="17" fillId="2" borderId="0" xfId="0" applyFont="1" applyFill="1" applyAlignment="1">
      <alignment horizontal="center"/>
    </xf>
    <xf numFmtId="49" fontId="20" fillId="0" borderId="44" xfId="0" applyNumberFormat="1" applyFont="1" applyBorder="1" applyAlignment="1">
      <alignment horizontal="left" vertical="center" wrapText="1" shrinkToFit="1"/>
    </xf>
    <xf numFmtId="0" fontId="20" fillId="0" borderId="45" xfId="0" applyFont="1" applyBorder="1" applyAlignment="1">
      <alignment horizontal="left" vertical="center" wrapText="1" shrinkToFit="1"/>
    </xf>
    <xf numFmtId="0" fontId="22" fillId="0" borderId="29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0" fontId="24" fillId="0" borderId="30" xfId="0" applyFont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vertical="center" wrapText="1"/>
      <protection locked="0"/>
    </xf>
    <xf numFmtId="0" fontId="22" fillId="0" borderId="35" xfId="0" applyFont="1" applyBorder="1" applyAlignment="1" applyProtection="1">
      <alignment vertical="center" wrapText="1"/>
      <protection locked="0"/>
    </xf>
    <xf numFmtId="3" fontId="18" fillId="0" borderId="48" xfId="0" applyNumberFormat="1" applyFont="1" applyBorder="1" applyAlignment="1" applyProtection="1">
      <alignment vertical="center" wrapText="1"/>
      <protection locked="0"/>
    </xf>
    <xf numFmtId="3" fontId="18" fillId="0" borderId="2" xfId="0" applyNumberFormat="1" applyFont="1" applyBorder="1" applyAlignment="1" applyProtection="1">
      <alignment vertical="center" wrapText="1"/>
      <protection locked="0"/>
    </xf>
    <xf numFmtId="3" fontId="22" fillId="0" borderId="35" xfId="0" applyNumberFormat="1" applyFont="1" applyBorder="1" applyAlignment="1" applyProtection="1">
      <alignment vertical="center" wrapText="1"/>
      <protection locked="0"/>
    </xf>
    <xf numFmtId="3" fontId="22" fillId="0" borderId="17" xfId="0" applyNumberFormat="1" applyFont="1" applyBorder="1" applyAlignment="1" applyProtection="1">
      <alignment vertical="center" wrapText="1"/>
      <protection locked="0"/>
    </xf>
    <xf numFmtId="49" fontId="24" fillId="0" borderId="29" xfId="0" applyNumberFormat="1" applyFont="1" applyBorder="1" applyAlignment="1" applyProtection="1">
      <alignment vertical="center" wrapText="1"/>
      <protection locked="0"/>
    </xf>
    <xf numFmtId="0" fontId="24" fillId="0" borderId="29" xfId="0" applyFont="1" applyBorder="1" applyAlignment="1" applyProtection="1">
      <alignment vertical="center" wrapText="1"/>
      <protection locked="0"/>
    </xf>
    <xf numFmtId="49" fontId="22" fillId="0" borderId="58" xfId="0" applyNumberFormat="1" applyFont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49" fontId="22" fillId="0" borderId="36" xfId="0" applyNumberFormat="1" applyFont="1" applyBorder="1" applyAlignment="1" applyProtection="1">
      <alignment vertical="center" wrapText="1"/>
      <protection locked="0"/>
    </xf>
    <xf numFmtId="0" fontId="22" fillId="0" borderId="37" xfId="0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12" xfId="0" applyNumberFormat="1" applyFont="1" applyBorder="1" applyAlignment="1" applyProtection="1">
      <alignment vertical="center" wrapText="1"/>
      <protection locked="0"/>
    </xf>
    <xf numFmtId="3" fontId="20" fillId="2" borderId="35" xfId="0" applyNumberFormat="1" applyFont="1" applyFill="1" applyBorder="1" applyAlignment="1" applyProtection="1">
      <alignment vertical="center" wrapText="1"/>
      <protection locked="0"/>
    </xf>
    <xf numFmtId="3" fontId="20" fillId="2" borderId="17" xfId="0" applyNumberFormat="1" applyFont="1" applyFill="1" applyBorder="1" applyAlignment="1" applyProtection="1">
      <alignment vertical="center" wrapText="1"/>
      <protection locked="0"/>
    </xf>
    <xf numFmtId="168" fontId="20" fillId="0" borderId="17" xfId="2" applyNumberFormat="1" applyFont="1" applyBorder="1" applyAlignment="1" applyProtection="1">
      <alignment vertical="center"/>
    </xf>
    <xf numFmtId="0" fontId="26" fillId="0" borderId="0" xfId="0" applyFont="1"/>
    <xf numFmtId="3" fontId="22" fillId="2" borderId="30" xfId="0" applyNumberFormat="1" applyFont="1" applyFill="1" applyBorder="1" applyAlignment="1" applyProtection="1">
      <alignment vertical="center" wrapText="1"/>
      <protection locked="0"/>
    </xf>
    <xf numFmtId="3" fontId="22" fillId="2" borderId="12" xfId="0" applyNumberFormat="1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17" fillId="0" borderId="0" xfId="0" applyFont="1"/>
    <xf numFmtId="3" fontId="17" fillId="0" borderId="0" xfId="0" applyNumberFormat="1" applyFont="1"/>
    <xf numFmtId="0" fontId="7" fillId="0" borderId="0" xfId="0" applyFont="1"/>
    <xf numFmtId="0" fontId="29" fillId="0" borderId="0" xfId="0" applyFont="1" applyAlignment="1">
      <alignment horizontal="right"/>
    </xf>
    <xf numFmtId="3" fontId="30" fillId="0" borderId="60" xfId="0" applyNumberFormat="1" applyFont="1" applyBorder="1" applyAlignment="1">
      <alignment vertical="center" wrapText="1" shrinkToFit="1"/>
    </xf>
    <xf numFmtId="3" fontId="31" fillId="0" borderId="0" xfId="0" applyNumberFormat="1" applyFont="1"/>
    <xf numFmtId="3" fontId="10" fillId="10" borderId="48" xfId="0" applyNumberFormat="1" applyFont="1" applyFill="1" applyBorder="1" applyAlignment="1">
      <alignment vertical="center" wrapText="1" shrinkToFit="1"/>
    </xf>
    <xf numFmtId="3" fontId="10" fillId="10" borderId="2" xfId="0" applyNumberFormat="1" applyFont="1" applyFill="1" applyBorder="1" applyAlignment="1">
      <alignment vertical="center" wrapText="1" shrinkToFit="1"/>
    </xf>
    <xf numFmtId="3" fontId="10" fillId="10" borderId="8" xfId="0" applyNumberFormat="1" applyFont="1" applyFill="1" applyBorder="1" applyAlignment="1">
      <alignment vertical="center" wrapText="1" shrinkToFit="1"/>
    </xf>
    <xf numFmtId="49" fontId="11" fillId="0" borderId="24" xfId="0" applyNumberFormat="1" applyFont="1" applyBorder="1" applyAlignment="1">
      <alignment horizontal="left" vertical="center" wrapText="1" shrinkToFit="1"/>
    </xf>
    <xf numFmtId="0" fontId="33" fillId="0" borderId="0" xfId="0" applyFont="1"/>
    <xf numFmtId="3" fontId="29" fillId="0" borderId="0" xfId="0" applyNumberFormat="1" applyFont="1"/>
    <xf numFmtId="3" fontId="10" fillId="10" borderId="2" xfId="0" applyNumberFormat="1" applyFont="1" applyFill="1" applyBorder="1"/>
    <xf numFmtId="49" fontId="10" fillId="10" borderId="51" xfId="0" applyNumberFormat="1" applyFont="1" applyFill="1" applyBorder="1" applyAlignment="1">
      <alignment horizontal="left" vertical="center" wrapText="1" shrinkToFit="1"/>
    </xf>
    <xf numFmtId="3" fontId="10" fillId="10" borderId="1" xfId="0" applyNumberFormat="1" applyFont="1" applyFill="1" applyBorder="1" applyAlignment="1">
      <alignment vertical="center" wrapText="1" shrinkToFit="1"/>
    </xf>
    <xf numFmtId="49" fontId="10" fillId="10" borderId="51" xfId="0" applyNumberFormat="1" applyFont="1" applyFill="1" applyBorder="1" applyAlignment="1">
      <alignment vertical="center" wrapText="1" shrinkToFit="1"/>
    </xf>
    <xf numFmtId="3" fontId="10" fillId="10" borderId="1" xfId="0" applyNumberFormat="1" applyFont="1" applyFill="1" applyBorder="1" applyAlignment="1">
      <alignment vertical="center"/>
    </xf>
    <xf numFmtId="49" fontId="10" fillId="10" borderId="47" xfId="0" applyNumberFormat="1" applyFont="1" applyFill="1" applyBorder="1" applyAlignment="1">
      <alignment vertical="center" wrapText="1" shrinkToFit="1"/>
    </xf>
    <xf numFmtId="3" fontId="17" fillId="9" borderId="2" xfId="0" applyNumberFormat="1" applyFont="1" applyFill="1" applyBorder="1"/>
    <xf numFmtId="3" fontId="17" fillId="2" borderId="0" xfId="0" applyNumberFormat="1" applyFont="1" applyFill="1"/>
    <xf numFmtId="0" fontId="21" fillId="6" borderId="37" xfId="0" applyFont="1" applyFill="1" applyBorder="1" applyAlignment="1">
      <alignment horizontal="center" vertical="center" wrapText="1" shrinkToFit="1"/>
    </xf>
    <xf numFmtId="0" fontId="22" fillId="0" borderId="44" xfId="0" applyFont="1" applyBorder="1" applyAlignment="1" applyProtection="1">
      <alignment vertical="center" wrapText="1"/>
      <protection locked="0"/>
    </xf>
    <xf numFmtId="0" fontId="22" fillId="0" borderId="45" xfId="0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3" fontId="22" fillId="0" borderId="9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169" fontId="0" fillId="0" borderId="0" xfId="0" applyNumberFormat="1"/>
    <xf numFmtId="0" fontId="22" fillId="0" borderId="66" xfId="0" applyFont="1" applyBorder="1" applyAlignment="1" applyProtection="1">
      <alignment vertical="center" wrapText="1"/>
      <protection locked="0"/>
    </xf>
    <xf numFmtId="169" fontId="22" fillId="2" borderId="0" xfId="0" applyNumberFormat="1" applyFont="1" applyFill="1" applyAlignment="1" applyProtection="1">
      <alignment horizontal="center" vertical="center" wrapText="1"/>
      <protection locked="0"/>
    </xf>
    <xf numFmtId="49" fontId="20" fillId="0" borderId="34" xfId="0" applyNumberFormat="1" applyFont="1" applyBorder="1" applyAlignment="1">
      <alignment horizontal="left" vertical="center" wrapText="1" shrinkToFit="1"/>
    </xf>
    <xf numFmtId="0" fontId="20" fillId="0" borderId="35" xfId="0" applyFont="1" applyBorder="1" applyAlignment="1">
      <alignment horizontal="left" vertical="center" wrapText="1" shrinkToFit="1"/>
    </xf>
    <xf numFmtId="3" fontId="20" fillId="0" borderId="35" xfId="0" applyNumberFormat="1" applyFont="1" applyBorder="1" applyAlignment="1">
      <alignment horizontal="right" vertical="center" wrapText="1" shrinkToFit="1"/>
    </xf>
    <xf numFmtId="3" fontId="20" fillId="0" borderId="17" xfId="0" applyNumberFormat="1" applyFont="1" applyBorder="1" applyAlignment="1">
      <alignment horizontal="right" vertical="center" wrapText="1" shrinkToFit="1"/>
    </xf>
    <xf numFmtId="3" fontId="20" fillId="0" borderId="17" xfId="2" applyNumberFormat="1" applyFont="1" applyBorder="1" applyAlignment="1" applyProtection="1">
      <alignment vertical="center"/>
    </xf>
    <xf numFmtId="3" fontId="18" fillId="11" borderId="48" xfId="0" applyNumberFormat="1" applyFont="1" applyFill="1" applyBorder="1" applyAlignment="1" applyProtection="1">
      <alignment vertical="center" wrapText="1"/>
      <protection locked="0"/>
    </xf>
    <xf numFmtId="3" fontId="18" fillId="11" borderId="2" xfId="0" applyNumberFormat="1" applyFont="1" applyFill="1" applyBorder="1" applyAlignment="1" applyProtection="1">
      <alignment vertical="center" wrapText="1"/>
      <protection locked="0"/>
    </xf>
    <xf numFmtId="3" fontId="20" fillId="0" borderId="12" xfId="2" applyNumberFormat="1" applyFont="1" applyBorder="1" applyProtection="1"/>
    <xf numFmtId="3" fontId="20" fillId="0" borderId="17" xfId="2" applyNumberFormat="1" applyFont="1" applyBorder="1" applyProtection="1"/>
    <xf numFmtId="3" fontId="21" fillId="0" borderId="2" xfId="2" applyNumberFormat="1" applyFont="1" applyBorder="1" applyProtection="1"/>
    <xf numFmtId="0" fontId="34" fillId="0" borderId="0" xfId="0" applyFont="1"/>
    <xf numFmtId="49" fontId="22" fillId="0" borderId="30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/>
    <xf numFmtId="3" fontId="22" fillId="0" borderId="43" xfId="0" applyNumberFormat="1" applyFont="1" applyBorder="1" applyAlignment="1" applyProtection="1">
      <alignment vertical="center" wrapText="1"/>
      <protection locked="0"/>
    </xf>
    <xf numFmtId="0" fontId="22" fillId="0" borderId="36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right"/>
    </xf>
    <xf numFmtId="3" fontId="40" fillId="0" borderId="0" xfId="1" applyNumberFormat="1" applyBorder="1">
      <protection locked="0"/>
    </xf>
    <xf numFmtId="0" fontId="17" fillId="2" borderId="0" xfId="0" applyFont="1" applyFill="1"/>
    <xf numFmtId="3" fontId="17" fillId="2" borderId="0" xfId="1" applyNumberFormat="1" applyFont="1" applyFill="1" applyBorder="1">
      <protection locked="0"/>
    </xf>
    <xf numFmtId="3" fontId="22" fillId="2" borderId="35" xfId="0" applyNumberFormat="1" applyFont="1" applyFill="1" applyBorder="1" applyAlignment="1" applyProtection="1">
      <alignment vertical="center" wrapText="1"/>
      <protection locked="0"/>
    </xf>
    <xf numFmtId="3" fontId="22" fillId="2" borderId="17" xfId="0" applyNumberFormat="1" applyFont="1" applyFill="1" applyBorder="1" applyAlignment="1" applyProtection="1">
      <alignment vertical="center" wrapText="1"/>
      <protection locked="0"/>
    </xf>
    <xf numFmtId="3" fontId="18" fillId="2" borderId="8" xfId="0" applyNumberFormat="1" applyFont="1" applyFill="1" applyBorder="1" applyAlignment="1" applyProtection="1">
      <alignment vertical="center" wrapText="1"/>
      <protection locked="0"/>
    </xf>
    <xf numFmtId="3" fontId="18" fillId="2" borderId="2" xfId="0" applyNumberFormat="1" applyFont="1" applyFill="1" applyBorder="1" applyAlignment="1" applyProtection="1">
      <alignment vertical="center" wrapText="1"/>
      <protection locked="0"/>
    </xf>
    <xf numFmtId="3" fontId="18" fillId="2" borderId="48" xfId="0" applyNumberFormat="1" applyFont="1" applyFill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3" fontId="20" fillId="0" borderId="21" xfId="0" applyNumberFormat="1" applyFont="1" applyBorder="1" applyAlignment="1">
      <alignment horizontal="right" vertical="center" wrapText="1" shrinkToFit="1"/>
    </xf>
    <xf numFmtId="3" fontId="22" fillId="0" borderId="21" xfId="0" applyNumberFormat="1" applyFont="1" applyBorder="1" applyAlignment="1" applyProtection="1">
      <alignment vertical="center" wrapText="1"/>
      <protection locked="0"/>
    </xf>
    <xf numFmtId="169" fontId="22" fillId="0" borderId="0" xfId="0" applyNumberFormat="1" applyFont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7" fillId="9" borderId="4" xfId="0" applyFont="1" applyFill="1" applyBorder="1" applyAlignment="1">
      <alignment horizontal="left"/>
    </xf>
    <xf numFmtId="0" fontId="21" fillId="12" borderId="38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center"/>
    </xf>
    <xf numFmtId="3" fontId="20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horizontal="center" vertical="center" wrapText="1"/>
      <protection locked="0"/>
    </xf>
    <xf numFmtId="3" fontId="22" fillId="0" borderId="14" xfId="0" applyNumberFormat="1" applyFont="1" applyBorder="1" applyAlignment="1" applyProtection="1">
      <alignment vertical="center" wrapText="1"/>
      <protection locked="0"/>
    </xf>
    <xf numFmtId="3" fontId="18" fillId="4" borderId="14" xfId="0" applyNumberFormat="1" applyFont="1" applyFill="1" applyBorder="1" applyAlignment="1" applyProtection="1">
      <alignment vertical="center" wrapText="1"/>
      <protection locked="0"/>
    </xf>
    <xf numFmtId="0" fontId="22" fillId="0" borderId="58" xfId="0" applyFont="1" applyBorder="1" applyAlignment="1" applyProtection="1">
      <alignment vertical="center" wrapText="1"/>
      <protection locked="0"/>
    </xf>
    <xf numFmtId="3" fontId="22" fillId="4" borderId="30" xfId="0" applyNumberFormat="1" applyFont="1" applyFill="1" applyBorder="1" applyAlignment="1" applyProtection="1">
      <alignment vertical="center" wrapText="1"/>
      <protection locked="0"/>
    </xf>
    <xf numFmtId="171" fontId="22" fillId="0" borderId="30" xfId="0" applyNumberFormat="1" applyFont="1" applyBorder="1" applyAlignment="1" applyProtection="1">
      <alignment horizontal="center" vertical="center" wrapText="1"/>
      <protection locked="0"/>
    </xf>
    <xf numFmtId="9" fontId="20" fillId="0" borderId="30" xfId="0" applyNumberFormat="1" applyFont="1" applyBorder="1" applyAlignment="1">
      <alignment horizontal="center" vertical="center" wrapText="1"/>
    </xf>
    <xf numFmtId="0" fontId="22" fillId="0" borderId="63" xfId="0" applyFont="1" applyBorder="1" applyAlignment="1" applyProtection="1">
      <alignment vertical="center" wrapText="1"/>
      <protection locked="0"/>
    </xf>
    <xf numFmtId="0" fontId="22" fillId="4" borderId="63" xfId="0" applyFont="1" applyFill="1" applyBorder="1" applyAlignment="1" applyProtection="1">
      <alignment vertical="center" wrapText="1"/>
      <protection locked="0"/>
    </xf>
    <xf numFmtId="9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9" fontId="22" fillId="0" borderId="30" xfId="0" applyNumberFormat="1" applyFont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4" fillId="0" borderId="63" xfId="0" applyFont="1" applyBorder="1" applyAlignment="1" applyProtection="1">
      <alignment vertical="center" wrapText="1"/>
      <protection locked="0"/>
    </xf>
    <xf numFmtId="3" fontId="22" fillId="0" borderId="63" xfId="0" applyNumberFormat="1" applyFont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vertical="center" wrapText="1"/>
      <protection locked="0"/>
    </xf>
    <xf numFmtId="3" fontId="25" fillId="0" borderId="0" xfId="0" applyNumberFormat="1" applyFont="1"/>
    <xf numFmtId="0" fontId="29" fillId="0" borderId="0" xfId="0" applyFont="1"/>
    <xf numFmtId="3" fontId="18" fillId="4" borderId="8" xfId="0" applyNumberFormat="1" applyFont="1" applyFill="1" applyBorder="1" applyAlignment="1" applyProtection="1">
      <alignment vertical="center" wrapText="1"/>
      <protection locked="0"/>
    </xf>
    <xf numFmtId="3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9" fontId="22" fillId="0" borderId="35" xfId="0" applyNumberFormat="1" applyFont="1" applyBorder="1" applyAlignment="1" applyProtection="1">
      <alignment horizontal="center" vertical="center" wrapText="1"/>
      <protection locked="0"/>
    </xf>
    <xf numFmtId="3" fontId="18" fillId="4" borderId="21" xfId="0" applyNumberFormat="1" applyFont="1" applyFill="1" applyBorder="1" applyAlignment="1" applyProtection="1">
      <alignment vertical="center" wrapText="1"/>
      <protection locked="0"/>
    </xf>
    <xf numFmtId="3" fontId="36" fillId="0" borderId="0" xfId="0" applyNumberFormat="1" applyFont="1"/>
    <xf numFmtId="9" fontId="22" fillId="4" borderId="35" xfId="0" applyNumberFormat="1" applyFont="1" applyFill="1" applyBorder="1" applyAlignment="1" applyProtection="1">
      <alignment horizontal="center" vertical="center" wrapText="1"/>
      <protection locked="0"/>
    </xf>
    <xf numFmtId="3" fontId="18" fillId="13" borderId="2" xfId="0" applyNumberFormat="1" applyFont="1" applyFill="1" applyBorder="1" applyAlignment="1" applyProtection="1">
      <alignment vertical="center" wrapText="1"/>
      <protection locked="0"/>
    </xf>
    <xf numFmtId="3" fontId="37" fillId="0" borderId="0" xfId="0" applyNumberFormat="1" applyFont="1"/>
    <xf numFmtId="3" fontId="22" fillId="0" borderId="28" xfId="0" applyNumberFormat="1" applyFont="1" applyBorder="1" applyAlignment="1" applyProtection="1">
      <alignment vertical="center" wrapText="1"/>
      <protection locked="0"/>
    </xf>
    <xf numFmtId="0" fontId="22" fillId="0" borderId="51" xfId="0" applyFont="1" applyBorder="1" applyAlignment="1" applyProtection="1">
      <alignment vertical="center" wrapText="1"/>
      <protection locked="0"/>
    </xf>
    <xf numFmtId="171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14" xfId="2" applyNumberFormat="1" applyFont="1" applyBorder="1" applyProtection="1"/>
    <xf numFmtId="3" fontId="22" fillId="0" borderId="35" xfId="0" applyNumberFormat="1" applyFont="1" applyBorder="1" applyAlignment="1" applyProtection="1">
      <alignment horizontal="center" vertical="center" wrapText="1"/>
      <protection locked="0"/>
    </xf>
    <xf numFmtId="3" fontId="20" fillId="0" borderId="21" xfId="2" applyNumberFormat="1" applyFont="1" applyBorder="1" applyProtection="1"/>
    <xf numFmtId="3" fontId="38" fillId="0" borderId="14" xfId="2" applyNumberFormat="1" applyFont="1" applyBorder="1" applyProtection="1"/>
    <xf numFmtId="3" fontId="21" fillId="13" borderId="2" xfId="2" applyNumberFormat="1" applyFont="1" applyFill="1" applyBorder="1" applyProtection="1"/>
    <xf numFmtId="0" fontId="25" fillId="0" borderId="0" xfId="0" applyFont="1"/>
    <xf numFmtId="3" fontId="24" fillId="4" borderId="30" xfId="0" applyNumberFormat="1" applyFont="1" applyFill="1" applyBorder="1" applyAlignment="1" applyProtection="1">
      <alignment vertical="center" wrapText="1"/>
      <protection locked="0"/>
    </xf>
    <xf numFmtId="0" fontId="22" fillId="4" borderId="37" xfId="0" applyFont="1" applyFill="1" applyBorder="1" applyAlignment="1" applyProtection="1">
      <alignment vertical="center" wrapText="1"/>
      <protection locked="0"/>
    </xf>
    <xf numFmtId="3" fontId="22" fillId="4" borderId="37" xfId="0" applyNumberFormat="1" applyFont="1" applyFill="1" applyBorder="1" applyAlignment="1" applyProtection="1">
      <alignment vertical="center" wrapText="1"/>
      <protection locked="0"/>
    </xf>
    <xf numFmtId="9" fontId="22" fillId="4" borderId="37" xfId="0" applyNumberFormat="1" applyFont="1" applyFill="1" applyBorder="1" applyAlignment="1" applyProtection="1">
      <alignment horizontal="center" vertical="center" wrapText="1"/>
      <protection locked="0"/>
    </xf>
    <xf numFmtId="3" fontId="18" fillId="4" borderId="38" xfId="0" applyNumberFormat="1" applyFont="1" applyFill="1" applyBorder="1" applyAlignment="1" applyProtection="1">
      <alignment vertical="center" wrapText="1"/>
      <protection locked="0"/>
    </xf>
    <xf numFmtId="3" fontId="22" fillId="2" borderId="14" xfId="0" applyNumberFormat="1" applyFont="1" applyFill="1" applyBorder="1" applyAlignment="1" applyProtection="1">
      <alignment vertical="center" wrapText="1"/>
      <protection locked="0"/>
    </xf>
    <xf numFmtId="171" fontId="22" fillId="0" borderId="30" xfId="0" applyNumberFormat="1" applyFont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0" fontId="37" fillId="0" borderId="0" xfId="0" applyFont="1"/>
    <xf numFmtId="49" fontId="22" fillId="0" borderId="54" xfId="0" applyNumberFormat="1" applyFont="1" applyBorder="1" applyAlignment="1" applyProtection="1">
      <alignment vertical="center" wrapText="1"/>
      <protection locked="0"/>
    </xf>
    <xf numFmtId="49" fontId="20" fillId="2" borderId="58" xfId="0" applyNumberFormat="1" applyFont="1" applyFill="1" applyBorder="1" applyAlignment="1">
      <alignment horizontal="left" vertical="center" wrapText="1" shrinkToFit="1"/>
    </xf>
    <xf numFmtId="0" fontId="39" fillId="0" borderId="0" xfId="0" applyFont="1"/>
    <xf numFmtId="0" fontId="39" fillId="2" borderId="0" xfId="0" applyFont="1" applyFill="1"/>
    <xf numFmtId="0" fontId="20" fillId="0" borderId="35" xfId="0" applyFont="1" applyBorder="1" applyAlignment="1">
      <alignment vertical="center" wrapText="1" shrinkToFit="1"/>
    </xf>
    <xf numFmtId="0" fontId="21" fillId="0" borderId="30" xfId="0" applyFont="1" applyBorder="1" applyAlignment="1">
      <alignment horizontal="center" vertical="center" wrapText="1" shrinkToFit="1"/>
    </xf>
    <xf numFmtId="3" fontId="21" fillId="0" borderId="21" xfId="0" applyNumberFormat="1" applyFont="1" applyBorder="1" applyAlignment="1">
      <alignment horizontal="right" vertical="center" wrapText="1" shrinkToFit="1"/>
    </xf>
    <xf numFmtId="0" fontId="26" fillId="0" borderId="0" xfId="0" applyFont="1" applyAlignment="1">
      <alignment horizontal="left"/>
    </xf>
    <xf numFmtId="3" fontId="22" fillId="0" borderId="0" xfId="0" applyNumberFormat="1" applyFont="1" applyAlignment="1" applyProtection="1">
      <alignment vertical="center" wrapText="1"/>
      <protection locked="0"/>
    </xf>
    <xf numFmtId="3" fontId="24" fillId="0" borderId="20" xfId="0" applyNumberFormat="1" applyFont="1" applyBorder="1" applyAlignment="1" applyProtection="1">
      <alignment vertical="center" wrapText="1"/>
      <protection locked="0"/>
    </xf>
    <xf numFmtId="0" fontId="24" fillId="0" borderId="35" xfId="0" applyFont="1" applyBorder="1" applyAlignment="1" applyProtection="1">
      <alignment vertical="center" wrapText="1"/>
      <protection locked="0"/>
    </xf>
    <xf numFmtId="3" fontId="24" fillId="0" borderId="21" xfId="0" applyNumberFormat="1" applyFont="1" applyBorder="1" applyAlignment="1" applyProtection="1">
      <alignment vertical="center" wrapText="1"/>
      <protection locked="0"/>
    </xf>
    <xf numFmtId="0" fontId="18" fillId="4" borderId="52" xfId="0" applyFont="1" applyFill="1" applyBorder="1" applyAlignment="1" applyProtection="1">
      <alignment vertical="center" wrapText="1"/>
      <protection locked="0"/>
    </xf>
    <xf numFmtId="3" fontId="22" fillId="4" borderId="52" xfId="0" applyNumberFormat="1" applyFont="1" applyFill="1" applyBorder="1" applyAlignment="1" applyProtection="1">
      <alignment vertical="center" wrapText="1"/>
      <protection locked="0"/>
    </xf>
    <xf numFmtId="3" fontId="18" fillId="4" borderId="69" xfId="0" applyNumberFormat="1" applyFont="1" applyFill="1" applyBorder="1" applyAlignment="1" applyProtection="1">
      <alignment vertical="center" wrapText="1"/>
      <protection locked="0"/>
    </xf>
    <xf numFmtId="49" fontId="20" fillId="2" borderId="34" xfId="0" applyNumberFormat="1" applyFont="1" applyFill="1" applyBorder="1" applyAlignment="1">
      <alignment vertical="center" wrapText="1"/>
    </xf>
    <xf numFmtId="3" fontId="24" fillId="0" borderId="35" xfId="0" applyNumberFormat="1" applyFont="1" applyBorder="1" applyAlignment="1" applyProtection="1">
      <alignment vertical="center" wrapText="1"/>
      <protection locked="0"/>
    </xf>
    <xf numFmtId="49" fontId="20" fillId="2" borderId="29" xfId="0" applyNumberFormat="1" applyFont="1" applyFill="1" applyBorder="1" applyAlignment="1">
      <alignment vertical="center" wrapText="1"/>
    </xf>
    <xf numFmtId="3" fontId="22" fillId="0" borderId="37" xfId="0" applyNumberFormat="1" applyFont="1" applyBorder="1" applyAlignment="1" applyProtection="1">
      <alignment horizontal="center" vertical="center" wrapText="1"/>
      <protection locked="0"/>
    </xf>
    <xf numFmtId="3" fontId="17" fillId="12" borderId="2" xfId="0" applyNumberFormat="1" applyFont="1" applyFill="1" applyBorder="1"/>
    <xf numFmtId="165" fontId="40" fillId="0" borderId="29" xfId="1" applyNumberFormat="1" applyBorder="1">
      <protection locked="0"/>
    </xf>
    <xf numFmtId="165" fontId="40" fillId="0" borderId="63" xfId="1" applyNumberFormat="1" applyBorder="1">
      <protection locked="0"/>
    </xf>
    <xf numFmtId="165" fontId="40" fillId="0" borderId="41" xfId="1" applyNumberFormat="1" applyBorder="1">
      <protection locked="0"/>
    </xf>
    <xf numFmtId="165" fontId="40" fillId="0" borderId="34" xfId="1" applyNumberFormat="1" applyBorder="1">
      <protection locked="0"/>
    </xf>
    <xf numFmtId="165" fontId="40" fillId="0" borderId="66" xfId="1" applyNumberFormat="1" applyBorder="1">
      <protection locked="0"/>
    </xf>
    <xf numFmtId="165" fontId="40" fillId="0" borderId="50" xfId="1" applyNumberFormat="1" applyBorder="1">
      <protection locked="0"/>
    </xf>
    <xf numFmtId="3" fontId="16" fillId="0" borderId="0" xfId="1" applyNumberFormat="1" applyFont="1" applyBorder="1" applyAlignment="1">
      <alignment vertical="center" readingOrder="1"/>
      <protection locked="0"/>
    </xf>
    <xf numFmtId="3" fontId="18" fillId="0" borderId="14" xfId="0" applyNumberFormat="1" applyFont="1" applyBorder="1" applyAlignment="1" applyProtection="1">
      <alignment vertical="center" wrapText="1"/>
      <protection locked="0"/>
    </xf>
    <xf numFmtId="9" fontId="22" fillId="0" borderId="45" xfId="0" applyNumberFormat="1" applyFont="1" applyBorder="1" applyAlignment="1" applyProtection="1">
      <alignment horizontal="center" vertical="center" wrapText="1"/>
      <protection locked="0"/>
    </xf>
    <xf numFmtId="3" fontId="18" fillId="17" borderId="14" xfId="0" applyNumberFormat="1" applyFont="1" applyFill="1" applyBorder="1" applyAlignment="1" applyProtection="1">
      <alignment vertical="center" wrapText="1"/>
      <protection locked="0"/>
    </xf>
    <xf numFmtId="0" fontId="7" fillId="18" borderId="0" xfId="0" applyFont="1" applyFill="1"/>
    <xf numFmtId="3" fontId="7" fillId="16" borderId="0" xfId="0" applyNumberFormat="1" applyFont="1" applyFill="1"/>
    <xf numFmtId="0" fontId="7" fillId="16" borderId="0" xfId="0" applyFont="1" applyFill="1"/>
    <xf numFmtId="9" fontId="2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20" fillId="0" borderId="35" xfId="0" applyFont="1" applyBorder="1" applyAlignment="1">
      <alignment horizontal="right" vertical="center" wrapText="1" shrinkToFit="1"/>
    </xf>
    <xf numFmtId="165" fontId="1" fillId="0" borderId="0" xfId="0" applyNumberFormat="1" applyFont="1"/>
    <xf numFmtId="3" fontId="7" fillId="0" borderId="0" xfId="0" applyNumberFormat="1" applyFont="1"/>
    <xf numFmtId="49" fontId="20" fillId="2" borderId="36" xfId="0" applyNumberFormat="1" applyFont="1" applyFill="1" applyBorder="1" applyAlignment="1">
      <alignment vertical="center" wrapText="1"/>
    </xf>
    <xf numFmtId="49" fontId="42" fillId="3" borderId="29" xfId="0" applyNumberFormat="1" applyFont="1" applyFill="1" applyBorder="1" applyAlignment="1">
      <alignment horizontal="center"/>
    </xf>
    <xf numFmtId="0" fontId="22" fillId="4" borderId="41" xfId="0" applyFont="1" applyFill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3" fontId="22" fillId="17" borderId="30" xfId="0" applyNumberFormat="1" applyFont="1" applyFill="1" applyBorder="1" applyAlignment="1" applyProtection="1">
      <alignment vertical="center" wrapText="1"/>
      <protection locked="0"/>
    </xf>
    <xf numFmtId="49" fontId="12" fillId="5" borderId="54" xfId="0" applyNumberFormat="1" applyFont="1" applyFill="1" applyBorder="1" applyAlignment="1">
      <alignment vertical="center" wrapText="1" shrinkToFit="1"/>
    </xf>
    <xf numFmtId="49" fontId="12" fillId="5" borderId="73" xfId="0" applyNumberFormat="1" applyFont="1" applyFill="1" applyBorder="1" applyAlignment="1">
      <alignment vertical="center" wrapText="1" shrinkToFit="1"/>
    </xf>
    <xf numFmtId="3" fontId="12" fillId="3" borderId="39" xfId="0" applyNumberFormat="1" applyFont="1" applyFill="1" applyBorder="1" applyAlignment="1">
      <alignment vertical="center" wrapText="1" shrinkToFit="1"/>
    </xf>
    <xf numFmtId="0" fontId="43" fillId="0" borderId="0" xfId="0" applyFont="1"/>
    <xf numFmtId="0" fontId="44" fillId="0" borderId="0" xfId="0" applyFont="1"/>
    <xf numFmtId="168" fontId="44" fillId="0" borderId="0" xfId="2" applyNumberFormat="1" applyFont="1" applyBorder="1" applyProtection="1"/>
    <xf numFmtId="167" fontId="44" fillId="0" borderId="0" xfId="2" applyNumberFormat="1" applyFont="1" applyBorder="1" applyProtection="1"/>
    <xf numFmtId="0" fontId="45" fillId="0" borderId="0" xfId="0" applyFont="1"/>
    <xf numFmtId="0" fontId="5" fillId="0" borderId="0" xfId="0" applyFont="1" applyAlignment="1">
      <alignment horizontal="right"/>
    </xf>
    <xf numFmtId="9" fontId="40" fillId="0" borderId="13" xfId="1" applyNumberFormat="1" applyBorder="1" applyAlignment="1">
      <alignment horizontal="center"/>
      <protection locked="0"/>
    </xf>
    <xf numFmtId="9" fontId="40" fillId="0" borderId="27" xfId="1" applyNumberFormat="1" applyBorder="1" applyAlignment="1">
      <alignment horizontal="center"/>
      <protection locked="0"/>
    </xf>
    <xf numFmtId="0" fontId="8" fillId="19" borderId="37" xfId="0" applyFont="1" applyFill="1" applyBorder="1" applyAlignment="1">
      <alignment horizontal="center" vertical="center" wrapText="1" shrinkToFit="1"/>
    </xf>
    <xf numFmtId="3" fontId="11" fillId="0" borderId="25" xfId="0" applyNumberFormat="1" applyFont="1" applyBorder="1" applyAlignment="1">
      <alignment vertical="center" wrapText="1" shrinkToFit="1"/>
    </xf>
    <xf numFmtId="3" fontId="11" fillId="0" borderId="30" xfId="0" applyNumberFormat="1" applyFont="1" applyBorder="1" applyAlignment="1">
      <alignment vertical="center" wrapText="1" shrinkToFit="1"/>
    </xf>
    <xf numFmtId="3" fontId="11" fillId="0" borderId="45" xfId="0" applyNumberFormat="1" applyFont="1" applyBorder="1" applyAlignment="1">
      <alignment vertical="center" wrapText="1" shrinkToFit="1"/>
    </xf>
    <xf numFmtId="0" fontId="46" fillId="2" borderId="0" xfId="0" applyFont="1" applyFill="1" applyAlignment="1">
      <alignment horizontal="right"/>
    </xf>
    <xf numFmtId="165" fontId="40" fillId="0" borderId="70" xfId="1" applyNumberFormat="1" applyBorder="1">
      <protection locked="0"/>
    </xf>
    <xf numFmtId="0" fontId="1" fillId="3" borderId="57" xfId="0" applyFont="1" applyFill="1" applyBorder="1"/>
    <xf numFmtId="0" fontId="1" fillId="3" borderId="41" xfId="0" applyFont="1" applyFill="1" applyBorder="1"/>
    <xf numFmtId="0" fontId="1" fillId="3" borderId="50" xfId="0" applyFont="1" applyFill="1" applyBorder="1"/>
    <xf numFmtId="0" fontId="1" fillId="3" borderId="42" xfId="0" applyFont="1" applyFill="1" applyBorder="1"/>
    <xf numFmtId="165" fontId="40" fillId="0" borderId="15" xfId="1" applyNumberFormat="1" applyBorder="1">
      <protection locked="0"/>
    </xf>
    <xf numFmtId="165" fontId="40" fillId="0" borderId="18" xfId="1" applyNumberFormat="1" applyBorder="1">
      <protection locked="0"/>
    </xf>
    <xf numFmtId="165" fontId="40" fillId="0" borderId="68" xfId="1" applyNumberFormat="1" applyBorder="1">
      <protection locked="0"/>
    </xf>
    <xf numFmtId="3" fontId="22" fillId="0" borderId="45" xfId="0" applyNumberFormat="1" applyFont="1" applyBorder="1" applyAlignment="1" applyProtection="1">
      <alignment horizontal="center" vertical="center" wrapText="1"/>
      <protection locked="0"/>
    </xf>
    <xf numFmtId="3" fontId="18" fillId="0" borderId="48" xfId="0" applyNumberFormat="1" applyFont="1" applyBorder="1" applyAlignment="1" applyProtection="1">
      <alignment horizontal="center" vertical="center" wrapText="1"/>
      <protection locked="0"/>
    </xf>
    <xf numFmtId="3" fontId="20" fillId="0" borderId="35" xfId="0" applyNumberFormat="1" applyFont="1" applyBorder="1" applyAlignment="1">
      <alignment horizontal="center" vertical="center" wrapText="1" shrinkToFit="1"/>
    </xf>
    <xf numFmtId="3" fontId="18" fillId="0" borderId="37" xfId="0" applyNumberFormat="1" applyFont="1" applyBorder="1" applyAlignment="1" applyProtection="1">
      <alignment horizontal="center" vertical="center" wrapText="1"/>
      <protection locked="0"/>
    </xf>
    <xf numFmtId="3" fontId="18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22" fillId="4" borderId="41" xfId="0" applyNumberFormat="1" applyFont="1" applyFill="1" applyBorder="1" applyAlignment="1" applyProtection="1">
      <alignment vertical="center" wrapText="1"/>
      <protection locked="0"/>
    </xf>
    <xf numFmtId="3" fontId="20" fillId="2" borderId="35" xfId="0" applyNumberFormat="1" applyFont="1" applyFill="1" applyBorder="1" applyAlignment="1" applyProtection="1">
      <alignment horizontal="center" vertical="center" wrapText="1"/>
      <protection locked="0"/>
    </xf>
    <xf numFmtId="3" fontId="10" fillId="5" borderId="49" xfId="0" applyNumberFormat="1" applyFont="1" applyFill="1" applyBorder="1" applyAlignment="1">
      <alignment horizontal="center" vertical="center" wrapText="1" shrinkToFit="1"/>
    </xf>
    <xf numFmtId="3" fontId="10" fillId="5" borderId="48" xfId="0" applyNumberFormat="1" applyFont="1" applyFill="1" applyBorder="1" applyAlignment="1">
      <alignment horizontal="center" vertical="center" wrapText="1" shrinkToFit="1"/>
    </xf>
    <xf numFmtId="0" fontId="22" fillId="4" borderId="30" xfId="0" applyFont="1" applyFill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4" borderId="35" xfId="0" applyFont="1" applyFill="1" applyBorder="1" applyAlignment="1" applyProtection="1">
      <alignment vertical="center" wrapText="1"/>
      <protection locked="0"/>
    </xf>
    <xf numFmtId="3" fontId="22" fillId="4" borderId="35" xfId="0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Border="1" applyAlignment="1" applyProtection="1">
      <alignment vertical="center" wrapText="1"/>
      <protection locked="0"/>
    </xf>
    <xf numFmtId="172" fontId="22" fillId="0" borderId="30" xfId="0" applyNumberFormat="1" applyFont="1" applyBorder="1" applyAlignment="1" applyProtection="1">
      <alignment horizontal="center" vertical="center" wrapText="1"/>
      <protection locked="0"/>
    </xf>
    <xf numFmtId="3" fontId="18" fillId="0" borderId="52" xfId="0" applyNumberFormat="1" applyFont="1" applyBorder="1" applyAlignment="1" applyProtection="1">
      <alignment vertical="center" wrapText="1"/>
      <protection locked="0"/>
    </xf>
    <xf numFmtId="3" fontId="18" fillId="0" borderId="52" xfId="0" applyNumberFormat="1" applyFont="1" applyBorder="1" applyAlignment="1" applyProtection="1">
      <alignment horizontal="center" vertical="center" wrapText="1"/>
      <protection locked="0"/>
    </xf>
    <xf numFmtId="3" fontId="18" fillId="0" borderId="1" xfId="0" applyNumberFormat="1" applyFont="1" applyBorder="1" applyAlignment="1" applyProtection="1">
      <alignment vertical="center" wrapText="1"/>
      <protection locked="0"/>
    </xf>
    <xf numFmtId="0" fontId="21" fillId="0" borderId="59" xfId="0" applyFont="1" applyBorder="1" applyAlignment="1">
      <alignment horizontal="center" vertical="center" wrapText="1" shrinkToFit="1"/>
    </xf>
    <xf numFmtId="3" fontId="20" fillId="0" borderId="59" xfId="0" applyNumberFormat="1" applyFont="1" applyBorder="1" applyAlignment="1">
      <alignment horizontal="right" vertical="center" wrapText="1" shrinkToFit="1"/>
    </xf>
    <xf numFmtId="3" fontId="18" fillId="0" borderId="21" xfId="0" applyNumberFormat="1" applyFont="1" applyBorder="1" applyAlignment="1" applyProtection="1">
      <alignment vertical="center" wrapText="1"/>
      <protection locked="0"/>
    </xf>
    <xf numFmtId="3" fontId="21" fillId="0" borderId="33" xfId="0" applyNumberFormat="1" applyFont="1" applyBorder="1" applyAlignment="1">
      <alignment horizontal="right" vertical="center" wrapText="1" shrinkToFit="1"/>
    </xf>
    <xf numFmtId="0" fontId="22" fillId="0" borderId="65" xfId="0" applyFont="1" applyBorder="1" applyAlignment="1" applyProtection="1">
      <alignment vertical="center" wrapText="1"/>
      <protection locked="0"/>
    </xf>
    <xf numFmtId="3" fontId="22" fillId="0" borderId="41" xfId="0" applyNumberFormat="1" applyFont="1" applyBorder="1" applyAlignment="1" applyProtection="1">
      <alignment horizontal="center" vertical="center" wrapText="1"/>
      <protection locked="0"/>
    </xf>
    <xf numFmtId="3" fontId="18" fillId="0" borderId="53" xfId="0" applyNumberFormat="1" applyFont="1" applyBorder="1" applyAlignment="1" applyProtection="1">
      <alignment horizontal="center" vertical="center" wrapText="1"/>
      <protection locked="0"/>
    </xf>
    <xf numFmtId="3" fontId="20" fillId="0" borderId="1" xfId="0" applyNumberFormat="1" applyFont="1" applyBorder="1" applyAlignment="1">
      <alignment horizontal="right" vertical="center" wrapText="1" shrinkToFit="1"/>
    </xf>
    <xf numFmtId="0" fontId="7" fillId="17" borderId="0" xfId="0" applyFont="1" applyFill="1"/>
    <xf numFmtId="0" fontId="0" fillId="17" borderId="0" xfId="0" applyFill="1"/>
    <xf numFmtId="6" fontId="7" fillId="17" borderId="0" xfId="0" applyNumberFormat="1" applyFont="1" applyFill="1"/>
    <xf numFmtId="9" fontId="22" fillId="4" borderId="41" xfId="0" applyNumberFormat="1" applyFont="1" applyFill="1" applyBorder="1" applyAlignment="1" applyProtection="1">
      <alignment horizontal="center" vertical="center" wrapText="1"/>
      <protection locked="0"/>
    </xf>
    <xf numFmtId="3" fontId="18" fillId="13" borderId="39" xfId="0" applyNumberFormat="1" applyFont="1" applyFill="1" applyBorder="1" applyAlignment="1" applyProtection="1">
      <alignment vertical="center" wrapText="1"/>
      <protection locked="0"/>
    </xf>
    <xf numFmtId="3" fontId="22" fillId="2" borderId="45" xfId="0" applyNumberFormat="1" applyFont="1" applyFill="1" applyBorder="1" applyAlignment="1" applyProtection="1">
      <alignment vertical="center" wrapText="1"/>
      <protection locked="0"/>
    </xf>
    <xf numFmtId="3" fontId="22" fillId="2" borderId="9" xfId="0" applyNumberFormat="1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horizontal="right" vertical="center" wrapText="1"/>
      <protection locked="0"/>
    </xf>
    <xf numFmtId="3" fontId="22" fillId="0" borderId="63" xfId="0" applyNumberFormat="1" applyFont="1" applyBorder="1" applyAlignment="1" applyProtection="1">
      <alignment horizontal="center" vertical="center" wrapText="1"/>
      <protection locked="0"/>
    </xf>
    <xf numFmtId="0" fontId="25" fillId="2" borderId="0" xfId="0" applyFont="1" applyFill="1"/>
    <xf numFmtId="170" fontId="25" fillId="0" borderId="0" xfId="0" applyNumberFormat="1" applyFont="1"/>
    <xf numFmtId="0" fontId="47" fillId="2" borderId="0" xfId="0" applyFont="1" applyFill="1"/>
    <xf numFmtId="0" fontId="47" fillId="0" borderId="0" xfId="0" applyFont="1"/>
    <xf numFmtId="0" fontId="48" fillId="0" borderId="0" xfId="0" applyFont="1"/>
    <xf numFmtId="3" fontId="48" fillId="0" borderId="0" xfId="0" applyNumberFormat="1" applyFont="1"/>
    <xf numFmtId="3" fontId="24" fillId="0" borderId="35" xfId="0" applyNumberFormat="1" applyFont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 applyProtection="1">
      <alignment vertical="center" wrapText="1"/>
      <protection locked="0"/>
    </xf>
    <xf numFmtId="3" fontId="20" fillId="0" borderId="30" xfId="0" applyNumberFormat="1" applyFont="1" applyBorder="1" applyAlignment="1" applyProtection="1">
      <alignment horizontal="center" vertical="center" wrapText="1"/>
      <protection locked="0"/>
    </xf>
    <xf numFmtId="0" fontId="22" fillId="0" borderId="25" xfId="0" applyFont="1" applyBorder="1" applyAlignment="1" applyProtection="1">
      <alignment vertical="center" wrapText="1"/>
      <protection locked="0"/>
    </xf>
    <xf numFmtId="3" fontId="18" fillId="0" borderId="26" xfId="0" applyNumberFormat="1" applyFont="1" applyBorder="1" applyAlignment="1" applyProtection="1">
      <alignment vertical="center" wrapText="1"/>
      <protection locked="0"/>
    </xf>
    <xf numFmtId="49" fontId="22" fillId="0" borderId="24" xfId="0" applyNumberFormat="1" applyFont="1" applyBorder="1" applyAlignment="1" applyProtection="1">
      <alignment vertical="center" wrapText="1"/>
      <protection locked="0"/>
    </xf>
    <xf numFmtId="3" fontId="22" fillId="0" borderId="26" xfId="0" applyNumberFormat="1" applyFont="1" applyBorder="1" applyAlignment="1" applyProtection="1">
      <alignment vertical="center" wrapText="1"/>
      <protection locked="0"/>
    </xf>
    <xf numFmtId="0" fontId="0" fillId="0" borderId="30" xfId="0" applyBorder="1" applyAlignment="1">
      <alignment vertical="center" wrapText="1"/>
    </xf>
    <xf numFmtId="3" fontId="20" fillId="0" borderId="30" xfId="0" applyNumberFormat="1" applyFont="1" applyBorder="1" applyAlignment="1">
      <alignment vertical="center" wrapText="1"/>
    </xf>
    <xf numFmtId="3" fontId="18" fillId="0" borderId="55" xfId="0" applyNumberFormat="1" applyFont="1" applyBorder="1" applyAlignment="1" applyProtection="1">
      <alignment vertical="center" wrapText="1"/>
      <protection locked="0"/>
    </xf>
    <xf numFmtId="0" fontId="21" fillId="0" borderId="45" xfId="0" applyFont="1" applyBorder="1" applyAlignment="1">
      <alignment horizontal="center" vertical="center" wrapText="1" shrinkToFit="1"/>
    </xf>
    <xf numFmtId="49" fontId="20" fillId="2" borderId="24" xfId="0" applyNumberFormat="1" applyFont="1" applyFill="1" applyBorder="1" applyAlignment="1">
      <alignment horizontal="left" vertical="center" wrapText="1"/>
    </xf>
    <xf numFmtId="0" fontId="20" fillId="0" borderId="45" xfId="0" applyFont="1" applyBorder="1" applyAlignment="1">
      <alignment horizontal="center" vertical="center" wrapText="1" shrinkToFit="1"/>
    </xf>
    <xf numFmtId="49" fontId="20" fillId="0" borderId="58" xfId="0" applyNumberFormat="1" applyFont="1" applyBorder="1" applyAlignment="1">
      <alignment horizontal="left" vertical="center" wrapText="1" shrinkToFit="1"/>
    </xf>
    <xf numFmtId="9" fontId="20" fillId="0" borderId="35" xfId="0" applyNumberFormat="1" applyFont="1" applyBorder="1" applyAlignment="1">
      <alignment horizontal="center" vertical="center" wrapText="1" shrinkToFit="1"/>
    </xf>
    <xf numFmtId="0" fontId="20" fillId="0" borderId="35" xfId="0" applyFont="1" applyBorder="1" applyAlignment="1">
      <alignment horizontal="center" vertical="center" wrapText="1" shrinkToFit="1"/>
    </xf>
    <xf numFmtId="0" fontId="20" fillId="0" borderId="45" xfId="0" applyFont="1" applyBorder="1" applyAlignment="1">
      <alignment vertical="center" wrapText="1" shrinkToFit="1"/>
    </xf>
    <xf numFmtId="0" fontId="18" fillId="4" borderId="76" xfId="0" applyFont="1" applyFill="1" applyBorder="1" applyAlignment="1" applyProtection="1">
      <alignment vertical="center" wrapText="1"/>
      <protection locked="0"/>
    </xf>
    <xf numFmtId="3" fontId="22" fillId="4" borderId="57" xfId="0" applyNumberFormat="1" applyFont="1" applyFill="1" applyBorder="1" applyAlignment="1" applyProtection="1">
      <alignment vertical="center" wrapText="1"/>
      <protection locked="0"/>
    </xf>
    <xf numFmtId="3" fontId="22" fillId="4" borderId="71" xfId="0" applyNumberFormat="1" applyFont="1" applyFill="1" applyBorder="1" applyAlignment="1" applyProtection="1">
      <alignment vertical="center" wrapText="1"/>
      <protection locked="0"/>
    </xf>
    <xf numFmtId="3" fontId="22" fillId="4" borderId="61" xfId="0" applyNumberFormat="1" applyFont="1" applyFill="1" applyBorder="1" applyAlignment="1" applyProtection="1">
      <alignment vertical="center" wrapText="1"/>
      <protection locked="0"/>
    </xf>
    <xf numFmtId="3" fontId="18" fillId="4" borderId="74" xfId="0" applyNumberFormat="1" applyFont="1" applyFill="1" applyBorder="1" applyAlignment="1" applyProtection="1">
      <alignment vertical="center" wrapText="1"/>
      <protection locked="0"/>
    </xf>
    <xf numFmtId="0" fontId="49" fillId="0" borderId="30" xfId="0" applyFont="1" applyBorder="1" applyAlignment="1">
      <alignment horizontal="left" vertical="center" wrapText="1"/>
    </xf>
    <xf numFmtId="3" fontId="22" fillId="0" borderId="41" xfId="0" applyNumberFormat="1" applyFont="1" applyBorder="1" applyAlignment="1" applyProtection="1">
      <alignment vertical="center" wrapText="1"/>
      <protection locked="0"/>
    </xf>
    <xf numFmtId="0" fontId="22" fillId="0" borderId="67" xfId="0" applyFont="1" applyBorder="1" applyAlignment="1" applyProtection="1">
      <alignment vertical="center" wrapText="1"/>
      <protection locked="0"/>
    </xf>
    <xf numFmtId="0" fontId="0" fillId="0" borderId="68" xfId="0" applyBorder="1" applyAlignment="1">
      <alignment vertical="center" wrapText="1"/>
    </xf>
    <xf numFmtId="0" fontId="0" fillId="0" borderId="65" xfId="0" applyBorder="1" applyAlignment="1">
      <alignment vertical="center" wrapText="1"/>
    </xf>
    <xf numFmtId="3" fontId="22" fillId="0" borderId="38" xfId="0" applyNumberFormat="1" applyFont="1" applyBorder="1" applyAlignment="1" applyProtection="1">
      <alignment vertical="center" wrapText="1"/>
      <protection locked="0"/>
    </xf>
    <xf numFmtId="3" fontId="22" fillId="0" borderId="77" xfId="0" applyNumberFormat="1" applyFont="1" applyBorder="1" applyAlignment="1" applyProtection="1">
      <alignment vertical="center" wrapText="1"/>
      <protection locked="0"/>
    </xf>
    <xf numFmtId="3" fontId="22" fillId="0" borderId="59" xfId="0" applyNumberFormat="1" applyFont="1" applyBorder="1" applyAlignment="1" applyProtection="1">
      <alignment vertical="center" wrapText="1"/>
      <protection locked="0"/>
    </xf>
    <xf numFmtId="3" fontId="22" fillId="0" borderId="32" xfId="0" applyNumberFormat="1" applyFont="1" applyBorder="1" applyAlignment="1" applyProtection="1">
      <alignment vertical="center" wrapText="1"/>
      <protection locked="0"/>
    </xf>
    <xf numFmtId="3" fontId="22" fillId="0" borderId="25" xfId="0" applyNumberFormat="1" applyFont="1" applyBorder="1" applyAlignment="1" applyProtection="1">
      <alignment vertical="center" wrapText="1"/>
      <protection locked="0"/>
    </xf>
    <xf numFmtId="3" fontId="22" fillId="0" borderId="40" xfId="0" applyNumberFormat="1" applyFont="1" applyBorder="1" applyAlignment="1" applyProtection="1">
      <alignment vertical="center" wrapText="1"/>
      <protection locked="0"/>
    </xf>
    <xf numFmtId="49" fontId="24" fillId="0" borderId="44" xfId="0" applyNumberFormat="1" applyFont="1" applyBorder="1" applyAlignment="1" applyProtection="1">
      <alignment vertical="center" wrapText="1"/>
      <protection locked="0"/>
    </xf>
    <xf numFmtId="3" fontId="15" fillId="6" borderId="2" xfId="0" applyNumberFormat="1" applyFont="1" applyFill="1" applyBorder="1" applyAlignment="1">
      <alignment vertical="center"/>
    </xf>
    <xf numFmtId="0" fontId="17" fillId="9" borderId="47" xfId="0" applyFont="1" applyFill="1" applyBorder="1" applyAlignment="1">
      <alignment horizontal="left"/>
    </xf>
    <xf numFmtId="165" fontId="2" fillId="0" borderId="39" xfId="0" applyNumberFormat="1" applyFont="1" applyBorder="1"/>
    <xf numFmtId="165" fontId="2" fillId="0" borderId="2" xfId="0" applyNumberFormat="1" applyFont="1" applyBorder="1"/>
    <xf numFmtId="3" fontId="10" fillId="5" borderId="49" xfId="0" applyNumberFormat="1" applyFont="1" applyFill="1" applyBorder="1" applyAlignment="1">
      <alignment horizontal="right" vertical="center" wrapText="1" shrinkToFit="1"/>
    </xf>
    <xf numFmtId="0" fontId="22" fillId="0" borderId="30" xfId="0" applyFont="1" applyBorder="1" applyAlignment="1" applyProtection="1">
      <alignment horizontal="right" vertical="center" wrapText="1"/>
      <protection locked="0"/>
    </xf>
    <xf numFmtId="3" fontId="20" fillId="0" borderId="45" xfId="0" applyNumberFormat="1" applyFont="1" applyBorder="1" applyAlignment="1">
      <alignment horizontal="right" vertical="center" wrapText="1" shrinkToFit="1"/>
    </xf>
    <xf numFmtId="3" fontId="24" fillId="0" borderId="30" xfId="0" applyNumberFormat="1" applyFont="1" applyBorder="1" applyAlignment="1" applyProtection="1">
      <alignment horizontal="right" vertical="center" wrapText="1"/>
      <protection locked="0"/>
    </xf>
    <xf numFmtId="3" fontId="22" fillId="0" borderId="63" xfId="0" applyNumberFormat="1" applyFont="1" applyBorder="1" applyAlignment="1" applyProtection="1">
      <alignment horizontal="right" vertical="center" wrapText="1"/>
      <protection locked="0"/>
    </xf>
    <xf numFmtId="3" fontId="24" fillId="0" borderId="63" xfId="0" applyNumberFormat="1" applyFont="1" applyBorder="1" applyAlignment="1" applyProtection="1">
      <alignment horizontal="right" vertical="center" wrapText="1"/>
      <protection locked="0"/>
    </xf>
    <xf numFmtId="3" fontId="22" fillId="0" borderId="35" xfId="0" applyNumberFormat="1" applyFont="1" applyBorder="1" applyAlignment="1" applyProtection="1">
      <alignment horizontal="right" vertical="center" wrapText="1"/>
      <protection locked="0"/>
    </xf>
    <xf numFmtId="3" fontId="22" fillId="0" borderId="26" xfId="0" applyNumberFormat="1" applyFont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right" vertical="center" wrapText="1"/>
      <protection locked="0"/>
    </xf>
    <xf numFmtId="3" fontId="10" fillId="10" borderId="49" xfId="0" applyNumberFormat="1" applyFont="1" applyFill="1" applyBorder="1" applyAlignment="1">
      <alignment horizontal="right" vertical="center" wrapText="1" shrinkToFit="1"/>
    </xf>
    <xf numFmtId="3" fontId="10" fillId="10" borderId="49" xfId="0" applyNumberFormat="1" applyFont="1" applyFill="1" applyBorder="1" applyAlignment="1">
      <alignment horizontal="right"/>
    </xf>
    <xf numFmtId="3" fontId="10" fillId="10" borderId="66" xfId="0" applyNumberFormat="1" applyFont="1" applyFill="1" applyBorder="1" applyAlignment="1">
      <alignment horizontal="right" vertical="center" wrapText="1" shrinkToFit="1"/>
    </xf>
    <xf numFmtId="3" fontId="22" fillId="0" borderId="66" xfId="0" applyNumberFormat="1" applyFont="1" applyBorder="1" applyAlignment="1" applyProtection="1">
      <alignment vertical="center" wrapText="1"/>
      <protection locked="0"/>
    </xf>
    <xf numFmtId="3" fontId="18" fillId="11" borderId="49" xfId="0" applyNumberFormat="1" applyFont="1" applyFill="1" applyBorder="1" applyAlignment="1" applyProtection="1">
      <alignment horizontal="right" vertical="center" wrapText="1"/>
      <protection locked="0"/>
    </xf>
    <xf numFmtId="3" fontId="38" fillId="0" borderId="28" xfId="2" applyNumberFormat="1" applyFont="1" applyBorder="1" applyProtection="1"/>
    <xf numFmtId="49" fontId="22" fillId="0" borderId="67" xfId="0" applyNumberFormat="1" applyFont="1" applyBorder="1" applyAlignment="1" applyProtection="1">
      <alignment horizontal="left" vertical="center" wrapText="1"/>
      <protection locked="0"/>
    </xf>
    <xf numFmtId="3" fontId="21" fillId="0" borderId="28" xfId="0" applyNumberFormat="1" applyFont="1" applyBorder="1" applyAlignment="1">
      <alignment horizontal="right" vertical="center" wrapText="1" shrinkToFit="1"/>
    </xf>
    <xf numFmtId="0" fontId="50" fillId="0" borderId="0" xfId="0" applyFont="1"/>
    <xf numFmtId="0" fontId="22" fillId="0" borderId="77" xfId="0" applyFont="1" applyBorder="1" applyAlignment="1" applyProtection="1">
      <alignment vertical="center" wrapText="1"/>
      <protection locked="0"/>
    </xf>
    <xf numFmtId="3" fontId="20" fillId="2" borderId="41" xfId="0" applyNumberFormat="1" applyFont="1" applyFill="1" applyBorder="1" applyAlignment="1">
      <alignment horizontal="center" vertical="center" wrapText="1" shrinkToFit="1"/>
    </xf>
    <xf numFmtId="3" fontId="18" fillId="2" borderId="53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>
      <alignment horizontal="center" vertical="center" wrapText="1" shrinkToFit="1"/>
    </xf>
    <xf numFmtId="3" fontId="20" fillId="0" borderId="40" xfId="0" applyNumberFormat="1" applyFont="1" applyBorder="1" applyAlignment="1">
      <alignment horizontal="right" vertical="center" wrapText="1" shrinkToFit="1"/>
    </xf>
    <xf numFmtId="3" fontId="20" fillId="0" borderId="32" xfId="0" applyNumberFormat="1" applyFont="1" applyBorder="1" applyAlignment="1">
      <alignment horizontal="right" vertical="center" wrapText="1" shrinkToFit="1"/>
    </xf>
    <xf numFmtId="0" fontId="20" fillId="0" borderId="25" xfId="0" applyFont="1" applyBorder="1" applyAlignment="1">
      <alignment horizontal="left" vertical="center" wrapText="1" shrinkToFit="1"/>
    </xf>
    <xf numFmtId="0" fontId="20" fillId="0" borderId="59" xfId="0" applyFont="1" applyBorder="1" applyAlignment="1">
      <alignment horizontal="left" vertical="center" wrapText="1" shrinkToFit="1"/>
    </xf>
    <xf numFmtId="49" fontId="20" fillId="0" borderId="24" xfId="0" applyNumberFormat="1" applyFont="1" applyBorder="1" applyAlignment="1">
      <alignment horizontal="left" vertical="center" wrapText="1" shrinkToFit="1"/>
    </xf>
    <xf numFmtId="3" fontId="22" fillId="0" borderId="50" xfId="0" applyNumberFormat="1" applyFont="1" applyBorder="1" applyAlignment="1" applyProtection="1">
      <alignment horizontal="center" vertical="center" wrapText="1"/>
      <protection locked="0"/>
    </xf>
    <xf numFmtId="3" fontId="18" fillId="11" borderId="53" xfId="0" applyNumberFormat="1" applyFont="1" applyFill="1" applyBorder="1" applyAlignment="1" applyProtection="1">
      <alignment horizontal="center" vertical="center" wrapText="1"/>
      <protection locked="0"/>
    </xf>
    <xf numFmtId="3" fontId="50" fillId="0" borderId="31" xfId="0" applyNumberFormat="1" applyFont="1" applyBorder="1" applyAlignment="1" applyProtection="1">
      <alignment vertical="center" wrapText="1"/>
      <protection locked="0"/>
    </xf>
    <xf numFmtId="3" fontId="50" fillId="0" borderId="0" xfId="0" applyNumberFormat="1" applyFont="1" applyAlignment="1" applyProtection="1">
      <alignment vertical="center" wrapText="1"/>
      <protection locked="0"/>
    </xf>
    <xf numFmtId="0" fontId="51" fillId="0" borderId="0" xfId="0" applyFont="1"/>
    <xf numFmtId="0" fontId="8" fillId="6" borderId="39" xfId="0" applyFont="1" applyFill="1" applyBorder="1" applyAlignment="1">
      <alignment horizontal="center" vertical="center" wrapText="1" shrinkToFit="1"/>
    </xf>
    <xf numFmtId="0" fontId="21" fillId="6" borderId="55" xfId="0" applyFont="1" applyFill="1" applyBorder="1" applyAlignment="1">
      <alignment horizontal="center" vertical="center" wrapText="1" shrinkToFit="1"/>
    </xf>
    <xf numFmtId="0" fontId="21" fillId="6" borderId="26" xfId="0" applyFont="1" applyFill="1" applyBorder="1" applyAlignment="1">
      <alignment horizontal="center" vertical="center" wrapText="1" shrinkToFit="1"/>
    </xf>
    <xf numFmtId="3" fontId="22" fillId="0" borderId="46" xfId="0" applyNumberFormat="1" applyFont="1" applyBorder="1" applyAlignment="1" applyProtection="1">
      <alignment vertical="center" wrapText="1"/>
      <protection locked="0"/>
    </xf>
    <xf numFmtId="0" fontId="22" fillId="0" borderId="46" xfId="0" applyFont="1" applyBorder="1" applyAlignment="1" applyProtection="1">
      <alignment horizontal="center" vertical="center" wrapText="1"/>
      <protection locked="0"/>
    </xf>
    <xf numFmtId="0" fontId="52" fillId="0" borderId="0" xfId="0" applyFont="1"/>
    <xf numFmtId="3" fontId="22" fillId="0" borderId="78" xfId="0" applyNumberFormat="1" applyFont="1" applyBorder="1" applyAlignment="1" applyProtection="1">
      <alignment vertical="center" wrapText="1"/>
      <protection locked="0"/>
    </xf>
    <xf numFmtId="3" fontId="7" fillId="17" borderId="0" xfId="0" applyNumberFormat="1" applyFont="1" applyFill="1"/>
    <xf numFmtId="49" fontId="0" fillId="0" borderId="58" xfId="0" applyNumberFormat="1" applyBorder="1" applyAlignment="1">
      <alignment vertical="center" wrapText="1"/>
    </xf>
    <xf numFmtId="10" fontId="20" fillId="0" borderId="59" xfId="0" applyNumberFormat="1" applyFont="1" applyBorder="1" applyAlignment="1">
      <alignment horizontal="center" vertical="center" wrapText="1" shrinkToFit="1"/>
    </xf>
    <xf numFmtId="173" fontId="7" fillId="17" borderId="0" xfId="0" applyNumberFormat="1" applyFont="1" applyFill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0" fillId="0" borderId="24" xfId="0" applyBorder="1"/>
    <xf numFmtId="3" fontId="0" fillId="0" borderId="26" xfId="0" applyNumberFormat="1" applyBorder="1"/>
    <xf numFmtId="0" fontId="0" fillId="0" borderId="29" xfId="0" applyBorder="1"/>
    <xf numFmtId="3" fontId="0" fillId="0" borderId="14" xfId="0" applyNumberFormat="1" applyBorder="1"/>
    <xf numFmtId="0" fontId="17" fillId="21" borderId="47" xfId="0" applyFont="1" applyFill="1" applyBorder="1"/>
    <xf numFmtId="3" fontId="17" fillId="21" borderId="8" xfId="0" applyNumberFormat="1" applyFont="1" applyFill="1" applyBorder="1"/>
    <xf numFmtId="49" fontId="54" fillId="0" borderId="44" xfId="0" applyNumberFormat="1" applyFont="1" applyBorder="1"/>
    <xf numFmtId="49" fontId="55" fillId="0" borderId="45" xfId="0" applyNumberFormat="1" applyFont="1" applyBorder="1" applyAlignment="1">
      <alignment wrapText="1"/>
    </xf>
    <xf numFmtId="49" fontId="54" fillId="0" borderId="29" xfId="0" applyNumberFormat="1" applyFont="1" applyBorder="1"/>
    <xf numFmtId="49" fontId="55" fillId="0" borderId="30" xfId="0" applyNumberFormat="1" applyFont="1" applyBorder="1" applyAlignment="1">
      <alignment wrapText="1"/>
    </xf>
    <xf numFmtId="49" fontId="54" fillId="0" borderId="34" xfId="0" applyNumberFormat="1" applyFont="1" applyBorder="1"/>
    <xf numFmtId="3" fontId="53" fillId="16" borderId="2" xfId="0" applyNumberFormat="1" applyFont="1" applyFill="1" applyBorder="1"/>
    <xf numFmtId="0" fontId="0" fillId="0" borderId="58" xfId="0" applyBorder="1"/>
    <xf numFmtId="3" fontId="0" fillId="0" borderId="33" xfId="0" applyNumberFormat="1" applyBorder="1"/>
    <xf numFmtId="9" fontId="22" fillId="0" borderId="37" xfId="0" applyNumberFormat="1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vertical="center" wrapText="1"/>
      <protection locked="0"/>
    </xf>
    <xf numFmtId="168" fontId="16" fillId="0" borderId="0" xfId="2" applyNumberFormat="1" applyBorder="1" applyProtection="1"/>
    <xf numFmtId="49" fontId="11" fillId="0" borderId="58" xfId="0" applyNumberFormat="1" applyFont="1" applyBorder="1" applyAlignment="1">
      <alignment horizontal="left" vertical="center" wrapText="1" shrinkToFit="1"/>
    </xf>
    <xf numFmtId="3" fontId="11" fillId="0" borderId="59" xfId="0" applyNumberFormat="1" applyFont="1" applyBorder="1" applyAlignment="1">
      <alignment vertical="center" wrapText="1" shrinkToFit="1"/>
    </xf>
    <xf numFmtId="3" fontId="11" fillId="0" borderId="32" xfId="0" applyNumberFormat="1" applyFont="1" applyBorder="1" applyAlignment="1">
      <alignment vertical="center" wrapText="1" shrinkToFit="1"/>
    </xf>
    <xf numFmtId="49" fontId="11" fillId="0" borderId="44" xfId="0" applyNumberFormat="1" applyFont="1" applyBorder="1" applyAlignment="1">
      <alignment horizontal="left" vertical="center" wrapText="1" shrinkToFit="1"/>
    </xf>
    <xf numFmtId="3" fontId="11" fillId="0" borderId="9" xfId="0" applyNumberFormat="1" applyFont="1" applyBorder="1" applyAlignment="1">
      <alignment vertical="center" wrapText="1" shrinkToFit="1"/>
    </xf>
    <xf numFmtId="165" fontId="40" fillId="0" borderId="30" xfId="1" applyNumberFormat="1" applyBorder="1">
      <protection locked="0"/>
    </xf>
    <xf numFmtId="0" fontId="17" fillId="13" borderId="24" xfId="0" applyFont="1" applyFill="1" applyBorder="1" applyAlignment="1">
      <alignment horizontal="center" vertical="center" readingOrder="1"/>
    </xf>
    <xf numFmtId="0" fontId="17" fillId="13" borderId="26" xfId="0" applyFont="1" applyFill="1" applyBorder="1" applyAlignment="1">
      <alignment horizontal="center" vertical="center" readingOrder="1"/>
    </xf>
    <xf numFmtId="165" fontId="40" fillId="0" borderId="35" xfId="1" applyNumberFormat="1" applyBorder="1">
      <protection locked="0"/>
    </xf>
    <xf numFmtId="165" fontId="17" fillId="14" borderId="47" xfId="1" applyNumberFormat="1" applyFont="1" applyFill="1" applyBorder="1" applyAlignment="1">
      <alignment horizontal="right" readingOrder="1"/>
      <protection locked="0"/>
    </xf>
    <xf numFmtId="3" fontId="22" fillId="22" borderId="30" xfId="0" applyNumberFormat="1" applyFont="1" applyFill="1" applyBorder="1" applyAlignment="1" applyProtection="1">
      <alignment vertical="center" wrapText="1"/>
      <protection locked="0"/>
    </xf>
    <xf numFmtId="3" fontId="22" fillId="22" borderId="45" xfId="0" applyNumberFormat="1" applyFont="1" applyFill="1" applyBorder="1" applyAlignment="1" applyProtection="1">
      <alignment horizontal="center" vertical="center" wrapText="1"/>
      <protection locked="0"/>
    </xf>
    <xf numFmtId="3" fontId="22" fillId="22" borderId="12" xfId="0" applyNumberFormat="1" applyFont="1" applyFill="1" applyBorder="1" applyAlignment="1" applyProtection="1">
      <alignment vertical="center" wrapText="1"/>
      <protection locked="0"/>
    </xf>
    <xf numFmtId="3" fontId="20" fillId="0" borderId="59" xfId="0" applyNumberFormat="1" applyFont="1" applyBorder="1" applyAlignment="1">
      <alignment horizontal="center" vertical="center" wrapText="1" shrinkToFit="1"/>
    </xf>
    <xf numFmtId="49" fontId="20" fillId="0" borderId="29" xfId="0" applyNumberFormat="1" applyFont="1" applyBorder="1" applyAlignment="1">
      <alignment horizontal="left" vertical="center" wrapText="1" shrinkToFit="1"/>
    </xf>
    <xf numFmtId="0" fontId="20" fillId="0" borderId="30" xfId="0" applyFont="1" applyBorder="1" applyAlignment="1">
      <alignment horizontal="left" vertical="center" wrapText="1" shrinkToFit="1"/>
    </xf>
    <xf numFmtId="0" fontId="20" fillId="0" borderId="30" xfId="0" applyFont="1" applyBorder="1" applyAlignment="1">
      <alignment horizontal="center" vertical="center" wrapText="1" shrinkToFit="1"/>
    </xf>
    <xf numFmtId="3" fontId="20" fillId="0" borderId="30" xfId="0" applyNumberFormat="1" applyFont="1" applyBorder="1" applyAlignment="1">
      <alignment horizontal="center" vertical="center" wrapText="1" shrinkToFit="1"/>
    </xf>
    <xf numFmtId="9" fontId="22" fillId="17" borderId="3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3" fontId="22" fillId="0" borderId="0" xfId="0" applyNumberFormat="1" applyFont="1" applyAlignment="1" applyProtection="1">
      <alignment horizontal="center" vertical="center" wrapText="1"/>
      <protection locked="0"/>
    </xf>
    <xf numFmtId="9" fontId="57" fillId="0" borderId="0" xfId="0" applyNumberFormat="1" applyFont="1"/>
    <xf numFmtId="9" fontId="58" fillId="0" borderId="0" xfId="0" applyNumberFormat="1" applyFont="1"/>
    <xf numFmtId="9" fontId="58" fillId="2" borderId="0" xfId="0" applyNumberFormat="1" applyFont="1" applyFill="1"/>
    <xf numFmtId="9" fontId="59" fillId="0" borderId="0" xfId="0" applyNumberFormat="1" applyFont="1"/>
    <xf numFmtId="9" fontId="60" fillId="0" borderId="0" xfId="0" applyNumberFormat="1" applyFont="1"/>
    <xf numFmtId="9" fontId="61" fillId="0" borderId="0" xfId="0" applyNumberFormat="1" applyFont="1" applyAlignment="1" applyProtection="1">
      <alignment vertical="center" wrapText="1"/>
      <protection locked="0"/>
    </xf>
    <xf numFmtId="9" fontId="62" fillId="0" borderId="0" xfId="0" applyNumberFormat="1" applyFont="1"/>
    <xf numFmtId="9" fontId="57" fillId="2" borderId="0" xfId="0" applyNumberFormat="1" applyFont="1" applyFill="1"/>
    <xf numFmtId="9" fontId="57" fillId="17" borderId="0" xfId="0" applyNumberFormat="1" applyFont="1" applyFill="1"/>
    <xf numFmtId="9" fontId="63" fillId="0" borderId="0" xfId="0" applyNumberFormat="1" applyFont="1" applyAlignment="1" applyProtection="1">
      <alignment vertical="center" wrapText="1"/>
      <protection locked="0"/>
    </xf>
    <xf numFmtId="9" fontId="62" fillId="18" borderId="0" xfId="0" applyNumberFormat="1" applyFont="1" applyFill="1"/>
    <xf numFmtId="9" fontId="59" fillId="2" borderId="0" xfId="0" applyNumberFormat="1" applyFont="1" applyFill="1"/>
    <xf numFmtId="9" fontId="62" fillId="16" borderId="0" xfId="0" applyNumberFormat="1" applyFont="1" applyFill="1"/>
    <xf numFmtId="9" fontId="64" fillId="0" borderId="0" xfId="0" applyNumberFormat="1" applyFont="1"/>
    <xf numFmtId="9" fontId="65" fillId="0" borderId="0" xfId="0" applyNumberFormat="1" applyFont="1"/>
    <xf numFmtId="9" fontId="66" fillId="0" borderId="0" xfId="0" applyNumberFormat="1" applyFont="1"/>
    <xf numFmtId="9" fontId="67" fillId="0" borderId="0" xfId="0" applyNumberFormat="1" applyFont="1"/>
    <xf numFmtId="9" fontId="0" fillId="0" borderId="0" xfId="0" applyNumberFormat="1"/>
    <xf numFmtId="9" fontId="0" fillId="2" borderId="0" xfId="0" applyNumberFormat="1" applyFill="1"/>
    <xf numFmtId="9" fontId="0" fillId="17" borderId="0" xfId="0" applyNumberFormat="1" applyFill="1"/>
    <xf numFmtId="9" fontId="22" fillId="2" borderId="0" xfId="0" applyNumberFormat="1" applyFont="1" applyFill="1" applyAlignment="1" applyProtection="1">
      <alignment horizontal="center" vertical="center" wrapText="1"/>
      <protection locked="0"/>
    </xf>
    <xf numFmtId="9" fontId="50" fillId="0" borderId="0" xfId="0" applyNumberFormat="1" applyFont="1" applyAlignment="1" applyProtection="1">
      <alignment vertical="center" wrapText="1"/>
      <protection locked="0"/>
    </xf>
    <xf numFmtId="9" fontId="7" fillId="16" borderId="0" xfId="0" applyNumberFormat="1" applyFont="1" applyFill="1"/>
    <xf numFmtId="9" fontId="39" fillId="0" borderId="0" xfId="0" applyNumberFormat="1" applyFont="1"/>
    <xf numFmtId="9" fontId="26" fillId="0" borderId="0" xfId="0" applyNumberFormat="1" applyFont="1"/>
    <xf numFmtId="0" fontId="22" fillId="0" borderId="0" xfId="0" applyFont="1" applyAlignment="1" applyProtection="1">
      <alignment horizontal="center" vertical="center" wrapText="1"/>
      <protection locked="0"/>
    </xf>
    <xf numFmtId="172" fontId="22" fillId="0" borderId="30" xfId="0" applyNumberFormat="1" applyFont="1" applyBorder="1" applyAlignment="1" applyProtection="1">
      <alignment vertical="center" wrapText="1"/>
      <protection locked="0"/>
    </xf>
    <xf numFmtId="174" fontId="70" fillId="0" borderId="0" xfId="0" applyNumberFormat="1" applyFont="1"/>
    <xf numFmtId="9" fontId="71" fillId="18" borderId="0" xfId="0" applyNumberFormat="1" applyFont="1" applyFill="1"/>
    <xf numFmtId="9" fontId="70" fillId="0" borderId="0" xfId="0" applyNumberFormat="1" applyFont="1"/>
    <xf numFmtId="9" fontId="22" fillId="0" borderId="63" xfId="0" applyNumberFormat="1" applyFont="1" applyBorder="1" applyAlignment="1" applyProtection="1">
      <alignment horizontal="center" vertical="center" wrapText="1"/>
      <protection locked="0"/>
    </xf>
    <xf numFmtId="3" fontId="22" fillId="2" borderId="0" xfId="0" applyNumberFormat="1" applyFont="1" applyFill="1" applyAlignment="1" applyProtection="1">
      <alignment vertical="center" wrapText="1"/>
      <protection locked="0"/>
    </xf>
    <xf numFmtId="49" fontId="22" fillId="23" borderId="44" xfId="0" applyNumberFormat="1" applyFont="1" applyFill="1" applyBorder="1" applyAlignment="1" applyProtection="1">
      <alignment vertical="center" wrapText="1"/>
      <protection locked="0"/>
    </xf>
    <xf numFmtId="0" fontId="22" fillId="23" borderId="45" xfId="0" applyFont="1" applyFill="1" applyBorder="1" applyAlignment="1" applyProtection="1">
      <alignment vertical="center" wrapText="1"/>
      <protection locked="0"/>
    </xf>
    <xf numFmtId="3" fontId="22" fillId="23" borderId="45" xfId="0" applyNumberFormat="1" applyFont="1" applyFill="1" applyBorder="1" applyAlignment="1" applyProtection="1">
      <alignment vertical="center" wrapText="1"/>
      <protection locked="0"/>
    </xf>
    <xf numFmtId="9" fontId="22" fillId="23" borderId="45" xfId="0" applyNumberFormat="1" applyFont="1" applyFill="1" applyBorder="1" applyAlignment="1" applyProtection="1">
      <alignment horizontal="center" vertical="center" wrapText="1"/>
      <protection locked="0"/>
    </xf>
    <xf numFmtId="3" fontId="38" fillId="23" borderId="28" xfId="2" applyNumberFormat="1" applyFont="1" applyFill="1" applyBorder="1" applyProtection="1"/>
    <xf numFmtId="49" fontId="25" fillId="0" borderId="0" xfId="0" applyNumberFormat="1" applyFont="1"/>
    <xf numFmtId="3" fontId="22" fillId="17" borderId="14" xfId="0" applyNumberFormat="1" applyFont="1" applyFill="1" applyBorder="1" applyAlignment="1" applyProtection="1">
      <alignment vertical="center" wrapText="1"/>
      <protection locked="0"/>
    </xf>
    <xf numFmtId="3" fontId="18" fillId="17" borderId="21" xfId="0" applyNumberFormat="1" applyFont="1" applyFill="1" applyBorder="1" applyAlignment="1" applyProtection="1">
      <alignment vertical="center" wrapText="1"/>
      <protection locked="0"/>
    </xf>
    <xf numFmtId="49" fontId="20" fillId="0" borderId="29" xfId="0" applyNumberFormat="1" applyFont="1" applyBorder="1" applyAlignment="1" applyProtection="1">
      <alignment vertical="center" wrapText="1"/>
      <protection locked="0"/>
    </xf>
    <xf numFmtId="9" fontId="20" fillId="0" borderId="35" xfId="0" applyNumberFormat="1" applyFont="1" applyBorder="1" applyAlignment="1" applyProtection="1">
      <alignment horizontal="center" vertical="center" wrapText="1"/>
      <protection locked="0"/>
    </xf>
    <xf numFmtId="3" fontId="20" fillId="0" borderId="21" xfId="0" applyNumberFormat="1" applyFont="1" applyBorder="1" applyAlignment="1" applyProtection="1">
      <alignment vertical="center" wrapText="1"/>
      <protection locked="0"/>
    </xf>
    <xf numFmtId="0" fontId="22" fillId="0" borderId="35" xfId="0" applyFont="1" applyBorder="1" applyAlignment="1" applyProtection="1">
      <alignment horizontal="right" vertical="center" wrapText="1"/>
      <protection locked="0"/>
    </xf>
    <xf numFmtId="0" fontId="20" fillId="0" borderId="41" xfId="0" applyFont="1" applyBorder="1" applyAlignment="1">
      <alignment horizontal="center" vertical="center" wrapText="1" shrinkToFit="1"/>
    </xf>
    <xf numFmtId="3" fontId="20" fillId="0" borderId="12" xfId="0" applyNumberFormat="1" applyFont="1" applyBorder="1" applyAlignment="1">
      <alignment horizontal="right" vertical="center" wrapText="1" shrinkToFit="1"/>
    </xf>
    <xf numFmtId="3" fontId="8" fillId="0" borderId="12" xfId="0" applyNumberFormat="1" applyFont="1" applyBorder="1" applyAlignment="1">
      <alignment vertical="center" wrapText="1" shrinkToFit="1"/>
    </xf>
    <xf numFmtId="3" fontId="8" fillId="0" borderId="9" xfId="0" applyNumberFormat="1" applyFont="1" applyBorder="1" applyAlignment="1">
      <alignment vertical="center" wrapText="1" shrinkToFit="1"/>
    </xf>
    <xf numFmtId="3" fontId="8" fillId="0" borderId="17" xfId="0" applyNumberFormat="1" applyFont="1" applyBorder="1" applyAlignment="1">
      <alignment vertical="center" wrapText="1" shrinkToFit="1"/>
    </xf>
    <xf numFmtId="3" fontId="8" fillId="0" borderId="40" xfId="0" applyNumberFormat="1" applyFont="1" applyBorder="1" applyAlignment="1">
      <alignment vertical="center" wrapText="1" shrinkToFit="1"/>
    </xf>
    <xf numFmtId="3" fontId="11" fillId="0" borderId="35" xfId="0" applyNumberFormat="1" applyFont="1" applyBorder="1" applyAlignment="1">
      <alignment vertical="center" wrapText="1" shrinkToFit="1"/>
    </xf>
    <xf numFmtId="3" fontId="11" fillId="0" borderId="63" xfId="0" applyNumberFormat="1" applyFont="1" applyBorder="1" applyAlignment="1">
      <alignment vertical="center" wrapText="1" shrinkToFit="1"/>
    </xf>
    <xf numFmtId="3" fontId="11" fillId="0" borderId="65" xfId="0" applyNumberFormat="1" applyFont="1" applyBorder="1" applyAlignment="1">
      <alignment vertical="center" wrapText="1" shrinkToFit="1"/>
    </xf>
    <xf numFmtId="3" fontId="11" fillId="0" borderId="61" xfId="0" applyNumberFormat="1" applyFont="1" applyBorder="1" applyAlignment="1">
      <alignment vertical="center" wrapText="1" shrinkToFit="1"/>
    </xf>
    <xf numFmtId="49" fontId="9" fillId="0" borderId="25" xfId="0" applyNumberFormat="1" applyFont="1" applyBorder="1" applyAlignment="1">
      <alignment vertical="center" wrapText="1" shrinkToFit="1"/>
    </xf>
    <xf numFmtId="49" fontId="9" fillId="0" borderId="50" xfId="0" applyNumberFormat="1" applyFont="1" applyBorder="1" applyAlignment="1">
      <alignment vertical="center" wrapText="1" shrinkToFit="1"/>
    </xf>
    <xf numFmtId="3" fontId="11" fillId="0" borderId="10" xfId="0" applyNumberFormat="1" applyFont="1" applyBorder="1" applyAlignment="1">
      <alignment vertical="center" wrapText="1" shrinkToFit="1"/>
    </xf>
    <xf numFmtId="3" fontId="9" fillId="0" borderId="63" xfId="0" applyNumberFormat="1" applyFont="1" applyBorder="1" applyAlignment="1">
      <alignment vertical="center" wrapText="1" shrinkToFit="1"/>
    </xf>
    <xf numFmtId="3" fontId="9" fillId="0" borderId="65" xfId="0" applyNumberFormat="1" applyFont="1" applyBorder="1" applyAlignment="1">
      <alignment vertical="center" wrapText="1" shrinkToFit="1"/>
    </xf>
    <xf numFmtId="3" fontId="9" fillId="0" borderId="25" xfId="0" applyNumberFormat="1" applyFont="1" applyBorder="1" applyAlignment="1">
      <alignment vertical="center" wrapText="1" shrinkToFit="1"/>
    </xf>
    <xf numFmtId="0" fontId="56" fillId="0" borderId="46" xfId="0" applyFont="1" applyBorder="1" applyAlignment="1" applyProtection="1">
      <alignment vertical="center" wrapText="1"/>
      <protection locked="0"/>
    </xf>
    <xf numFmtId="9" fontId="40" fillId="0" borderId="2" xfId="1" applyNumberFormat="1" applyBorder="1" applyAlignment="1">
      <alignment horizontal="center"/>
      <protection locked="0"/>
    </xf>
    <xf numFmtId="165" fontId="40" fillId="0" borderId="38" xfId="1" applyNumberFormat="1" applyBorder="1">
      <protection locked="0"/>
    </xf>
    <xf numFmtId="9" fontId="40" fillId="0" borderId="64" xfId="1" applyNumberFormat="1" applyBorder="1" applyAlignment="1">
      <alignment horizontal="center"/>
      <protection locked="0"/>
    </xf>
    <xf numFmtId="9" fontId="40" fillId="0" borderId="61" xfId="1" applyNumberFormat="1" applyBorder="1" applyAlignment="1">
      <alignment horizontal="center"/>
      <protection locked="0"/>
    </xf>
    <xf numFmtId="9" fontId="40" fillId="0" borderId="62" xfId="1" applyNumberFormat="1" applyBorder="1" applyAlignment="1">
      <alignment horizontal="center"/>
      <protection locked="0"/>
    </xf>
    <xf numFmtId="9" fontId="40" fillId="0" borderId="30" xfId="1" applyNumberFormat="1" applyBorder="1" applyAlignment="1">
      <alignment horizontal="center"/>
      <protection locked="0"/>
    </xf>
    <xf numFmtId="9" fontId="40" fillId="0" borderId="45" xfId="1" applyNumberFormat="1" applyBorder="1" applyAlignment="1">
      <alignment horizontal="center"/>
      <protection locked="0"/>
    </xf>
    <xf numFmtId="165" fontId="40" fillId="0" borderId="24" xfId="1" applyNumberFormat="1" applyBorder="1">
      <protection locked="0"/>
    </xf>
    <xf numFmtId="9" fontId="40" fillId="0" borderId="42" xfId="1" applyNumberFormat="1" applyBorder="1" applyAlignment="1">
      <alignment horizontal="center"/>
      <protection locked="0"/>
    </xf>
    <xf numFmtId="165" fontId="40" fillId="0" borderId="61" xfId="1" applyNumberFormat="1" applyBorder="1">
      <protection locked="0"/>
    </xf>
    <xf numFmtId="165" fontId="1" fillId="0" borderId="34" xfId="0" applyNumberFormat="1" applyFont="1" applyBorder="1"/>
    <xf numFmtId="165" fontId="1" fillId="0" borderId="36" xfId="0" applyNumberFormat="1" applyFont="1" applyBorder="1"/>
    <xf numFmtId="165" fontId="40" fillId="0" borderId="25" xfId="1" applyNumberFormat="1" applyBorder="1">
      <protection locked="0"/>
    </xf>
    <xf numFmtId="165" fontId="40" fillId="0" borderId="37" xfId="1" applyNumberFormat="1" applyBorder="1">
      <protection locked="0"/>
    </xf>
    <xf numFmtId="165" fontId="40" fillId="0" borderId="64" xfId="1" applyNumberFormat="1" applyBorder="1">
      <protection locked="0"/>
    </xf>
    <xf numFmtId="165" fontId="40" fillId="0" borderId="73" xfId="1" applyNumberFormat="1" applyBorder="1">
      <protection locked="0"/>
    </xf>
    <xf numFmtId="165" fontId="40" fillId="0" borderId="52" xfId="1" applyNumberFormat="1" applyBorder="1">
      <protection locked="0"/>
    </xf>
    <xf numFmtId="165" fontId="40" fillId="0" borderId="45" xfId="1" applyNumberFormat="1" applyBorder="1">
      <protection locked="0"/>
    </xf>
    <xf numFmtId="3" fontId="22" fillId="0" borderId="28" xfId="0" applyNumberFormat="1" applyFont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 wrapText="1"/>
      <protection locked="0"/>
    </xf>
    <xf numFmtId="3" fontId="8" fillId="0" borderId="43" xfId="0" applyNumberFormat="1" applyFont="1" applyBorder="1" applyAlignment="1">
      <alignment vertical="center" wrapText="1" shrinkToFit="1"/>
    </xf>
    <xf numFmtId="3" fontId="11" fillId="0" borderId="52" xfId="0" applyNumberFormat="1" applyFont="1" applyBorder="1" applyAlignment="1">
      <alignment vertical="center" wrapText="1" shrinkToFit="1"/>
    </xf>
    <xf numFmtId="0" fontId="20" fillId="0" borderId="63" xfId="0" applyFont="1" applyBorder="1" applyAlignment="1" applyProtection="1">
      <alignment vertical="center" wrapText="1"/>
      <protection locked="0"/>
    </xf>
    <xf numFmtId="0" fontId="22" fillId="0" borderId="64" xfId="0" applyFont="1" applyBorder="1" applyAlignment="1" applyProtection="1">
      <alignment vertical="center" wrapText="1"/>
      <protection locked="0"/>
    </xf>
    <xf numFmtId="0" fontId="20" fillId="0" borderId="46" xfId="0" applyFont="1" applyBorder="1" applyAlignment="1">
      <alignment horizontal="center" vertical="center" wrapText="1" shrinkToFit="1"/>
    </xf>
    <xf numFmtId="3" fontId="20" fillId="0" borderId="9" xfId="0" applyNumberFormat="1" applyFont="1" applyBorder="1" applyAlignment="1">
      <alignment horizontal="right" vertical="center" wrapText="1" shrinkToFit="1"/>
    </xf>
    <xf numFmtId="3" fontId="9" fillId="0" borderId="27" xfId="0" applyNumberFormat="1" applyFont="1" applyBorder="1" applyAlignment="1">
      <alignment horizontal="center" vertical="center" wrapText="1" shrinkToFit="1"/>
    </xf>
    <xf numFmtId="3" fontId="9" fillId="0" borderId="13" xfId="0" applyNumberFormat="1" applyFont="1" applyBorder="1" applyAlignment="1">
      <alignment horizontal="center" vertical="center" wrapText="1" shrinkToFit="1"/>
    </xf>
    <xf numFmtId="3" fontId="11" fillId="0" borderId="26" xfId="0" applyNumberFormat="1" applyFont="1" applyBorder="1" applyAlignment="1">
      <alignment horizontal="center" vertical="center" wrapText="1" shrinkToFit="1"/>
    </xf>
    <xf numFmtId="3" fontId="57" fillId="0" borderId="0" xfId="0" applyNumberFormat="1" applyFont="1"/>
    <xf numFmtId="3" fontId="72" fillId="0" borderId="0" xfId="0" applyNumberFormat="1" applyFont="1"/>
    <xf numFmtId="0" fontId="22" fillId="0" borderId="61" xfId="0" applyFont="1" applyBorder="1" applyAlignment="1" applyProtection="1">
      <alignment vertical="center" wrapText="1"/>
      <protection locked="0"/>
    </xf>
    <xf numFmtId="9" fontId="22" fillId="0" borderId="25" xfId="0" applyNumberFormat="1" applyFont="1" applyBorder="1" applyAlignment="1" applyProtection="1">
      <alignment horizontal="center" vertical="center" wrapText="1"/>
      <protection locked="0"/>
    </xf>
    <xf numFmtId="49" fontId="9" fillId="0" borderId="24" xfId="0" applyNumberFormat="1" applyFont="1" applyBorder="1" applyAlignment="1">
      <alignment vertical="center" wrapText="1" shrinkToFit="1"/>
    </xf>
    <xf numFmtId="3" fontId="9" fillId="0" borderId="56" xfId="0" applyNumberFormat="1" applyFont="1" applyBorder="1" applyAlignment="1">
      <alignment vertical="center" wrapText="1" shrinkToFit="1"/>
    </xf>
    <xf numFmtId="49" fontId="55" fillId="0" borderId="30" xfId="0" applyNumberFormat="1" applyFont="1" applyBorder="1" applyAlignment="1">
      <alignment vertical="top" wrapText="1"/>
    </xf>
    <xf numFmtId="49" fontId="55" fillId="0" borderId="35" xfId="0" applyNumberFormat="1" applyFont="1" applyBorder="1" applyAlignment="1">
      <alignment wrapText="1"/>
    </xf>
    <xf numFmtId="49" fontId="18" fillId="24" borderId="44" xfId="0" applyNumberFormat="1" applyFont="1" applyFill="1" applyBorder="1" applyAlignment="1" applyProtection="1">
      <alignment vertical="center" wrapText="1"/>
      <protection locked="0"/>
    </xf>
    <xf numFmtId="0" fontId="18" fillId="24" borderId="45" xfId="0" applyFont="1" applyFill="1" applyBorder="1" applyAlignment="1" applyProtection="1">
      <alignment vertical="center" wrapText="1"/>
      <protection locked="0"/>
    </xf>
    <xf numFmtId="49" fontId="18" fillId="24" borderId="58" xfId="0" applyNumberFormat="1" applyFont="1" applyFill="1" applyBorder="1" applyAlignment="1" applyProtection="1">
      <alignment vertical="center" wrapText="1"/>
      <protection locked="0"/>
    </xf>
    <xf numFmtId="0" fontId="18" fillId="24" borderId="59" xfId="0" applyFont="1" applyFill="1" applyBorder="1" applyAlignment="1" applyProtection="1">
      <alignment vertical="center" wrapText="1"/>
      <protection locked="0"/>
    </xf>
    <xf numFmtId="0" fontId="18" fillId="24" borderId="29" xfId="0" applyFont="1" applyFill="1" applyBorder="1" applyAlignment="1" applyProtection="1">
      <alignment vertical="center" wrapText="1"/>
      <protection locked="0"/>
    </xf>
    <xf numFmtId="0" fontId="18" fillId="24" borderId="30" xfId="0" applyFont="1" applyFill="1" applyBorder="1" applyAlignment="1" applyProtection="1">
      <alignment vertical="center" wrapText="1"/>
      <protection locked="0"/>
    </xf>
    <xf numFmtId="49" fontId="18" fillId="24" borderId="29" xfId="0" applyNumberFormat="1" applyFont="1" applyFill="1" applyBorder="1" applyAlignment="1" applyProtection="1">
      <alignment vertical="center" wrapText="1"/>
      <protection locked="0"/>
    </xf>
    <xf numFmtId="0" fontId="18" fillId="24" borderId="44" xfId="0" applyFont="1" applyFill="1" applyBorder="1" applyAlignment="1" applyProtection="1">
      <alignment vertical="center" wrapText="1"/>
      <protection locked="0"/>
    </xf>
    <xf numFmtId="3" fontId="18" fillId="16" borderId="48" xfId="0" applyNumberFormat="1" applyFont="1" applyFill="1" applyBorder="1" applyAlignment="1" applyProtection="1">
      <alignment vertical="center" wrapText="1"/>
      <protection locked="0"/>
    </xf>
    <xf numFmtId="3" fontId="18" fillId="16" borderId="48" xfId="0" applyNumberFormat="1" applyFont="1" applyFill="1" applyBorder="1" applyAlignment="1" applyProtection="1">
      <alignment horizontal="center" vertical="center" wrapText="1"/>
      <protection locked="0"/>
    </xf>
    <xf numFmtId="3" fontId="18" fillId="16" borderId="2" xfId="0" applyNumberFormat="1" applyFont="1" applyFill="1" applyBorder="1" applyAlignment="1" applyProtection="1">
      <alignment vertical="center" wrapText="1"/>
      <protection locked="0"/>
    </xf>
    <xf numFmtId="3" fontId="18" fillId="16" borderId="52" xfId="0" applyNumberFormat="1" applyFont="1" applyFill="1" applyBorder="1" applyAlignment="1" applyProtection="1">
      <alignment vertical="center" wrapText="1"/>
      <protection locked="0"/>
    </xf>
    <xf numFmtId="3" fontId="18" fillId="16" borderId="52" xfId="0" applyNumberFormat="1" applyFont="1" applyFill="1" applyBorder="1" applyAlignment="1" applyProtection="1">
      <alignment horizontal="center" vertical="center" wrapText="1"/>
      <protection locked="0"/>
    </xf>
    <xf numFmtId="3" fontId="21" fillId="16" borderId="1" xfId="2" applyNumberFormat="1" applyFont="1" applyFill="1" applyBorder="1" applyAlignment="1" applyProtection="1">
      <alignment vertical="center"/>
    </xf>
    <xf numFmtId="3" fontId="18" fillId="16" borderId="62" xfId="0" applyNumberFormat="1" applyFont="1" applyFill="1" applyBorder="1" applyAlignment="1" applyProtection="1">
      <alignment horizontal="right" vertical="center" wrapText="1"/>
      <protection locked="0"/>
    </xf>
    <xf numFmtId="3" fontId="18" fillId="16" borderId="1" xfId="0" applyNumberFormat="1" applyFont="1" applyFill="1" applyBorder="1" applyAlignment="1" applyProtection="1">
      <alignment vertical="center" wrapText="1"/>
      <protection locked="0"/>
    </xf>
    <xf numFmtId="0" fontId="18" fillId="16" borderId="49" xfId="0" applyFont="1" applyFill="1" applyBorder="1" applyAlignment="1" applyProtection="1">
      <alignment horizontal="right" vertical="center" wrapText="1"/>
      <protection locked="0"/>
    </xf>
    <xf numFmtId="3" fontId="18" fillId="16" borderId="49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41" xfId="0" applyFont="1" applyBorder="1" applyAlignment="1" applyProtection="1">
      <alignment horizontal="center" vertical="center" wrapText="1"/>
      <protection locked="0"/>
    </xf>
    <xf numFmtId="3" fontId="22" fillId="0" borderId="64" xfId="0" applyNumberFormat="1" applyFont="1" applyBorder="1" applyAlignment="1" applyProtection="1">
      <alignment vertical="center" wrapText="1"/>
      <protection locked="0"/>
    </xf>
    <xf numFmtId="171" fontId="22" fillId="0" borderId="63" xfId="0" applyNumberFormat="1" applyFont="1" applyBorder="1" applyAlignment="1" applyProtection="1">
      <alignment horizontal="center" vertical="center" wrapText="1"/>
      <protection locked="0"/>
    </xf>
    <xf numFmtId="3" fontId="65" fillId="0" borderId="0" xfId="0" applyNumberFormat="1" applyFont="1"/>
    <xf numFmtId="3" fontId="73" fillId="0" borderId="0" xfId="0" applyNumberFormat="1" applyFont="1"/>
    <xf numFmtId="3" fontId="74" fillId="0" borderId="0" xfId="0" applyNumberFormat="1" applyFont="1"/>
    <xf numFmtId="49" fontId="22" fillId="17" borderId="16" xfId="0" applyNumberFormat="1" applyFont="1" applyFill="1" applyBorder="1" applyAlignment="1" applyProtection="1">
      <alignment vertical="center" wrapText="1"/>
      <protection locked="0"/>
    </xf>
    <xf numFmtId="10" fontId="20" fillId="0" borderId="30" xfId="0" applyNumberFormat="1" applyFont="1" applyBorder="1" applyAlignment="1">
      <alignment horizontal="center" vertical="center" wrapText="1" shrinkToFit="1"/>
    </xf>
    <xf numFmtId="3" fontId="22" fillId="2" borderId="59" xfId="0" applyNumberFormat="1" applyFont="1" applyFill="1" applyBorder="1" applyAlignment="1" applyProtection="1">
      <alignment vertical="center" wrapText="1"/>
      <protection locked="0"/>
    </xf>
    <xf numFmtId="3" fontId="22" fillId="2" borderId="43" xfId="0" applyNumberFormat="1" applyFont="1" applyFill="1" applyBorder="1" applyAlignment="1" applyProtection="1">
      <alignment vertical="center" wrapText="1"/>
      <protection locked="0"/>
    </xf>
    <xf numFmtId="0" fontId="21" fillId="12" borderId="21" xfId="0" applyFont="1" applyFill="1" applyBorder="1" applyAlignment="1">
      <alignment horizontal="center" vertical="center" wrapText="1" shrinkToFit="1"/>
    </xf>
    <xf numFmtId="3" fontId="24" fillId="0" borderId="30" xfId="0" applyNumberFormat="1" applyFont="1" applyBorder="1" applyAlignment="1" applyProtection="1">
      <alignment vertical="center" wrapText="1"/>
      <protection locked="0"/>
    </xf>
    <xf numFmtId="0" fontId="22" fillId="25" borderId="30" xfId="0" applyFont="1" applyFill="1" applyBorder="1" applyAlignment="1" applyProtection="1">
      <alignment vertical="center" wrapText="1"/>
      <protection locked="0"/>
    </xf>
    <xf numFmtId="3" fontId="22" fillId="25" borderId="30" xfId="0" applyNumberFormat="1" applyFont="1" applyFill="1" applyBorder="1" applyAlignment="1" applyProtection="1">
      <alignment vertical="center" wrapText="1"/>
      <protection locked="0"/>
    </xf>
    <xf numFmtId="3" fontId="22" fillId="25" borderId="14" xfId="0" applyNumberFormat="1" applyFont="1" applyFill="1" applyBorder="1" applyAlignment="1" applyProtection="1">
      <alignment vertical="center" wrapText="1"/>
      <protection locked="0"/>
    </xf>
    <xf numFmtId="3" fontId="22" fillId="0" borderId="13" xfId="0" applyNumberFormat="1" applyFont="1" applyBorder="1" applyAlignment="1" applyProtection="1">
      <alignment vertical="center" wrapText="1"/>
      <protection locked="0"/>
    </xf>
    <xf numFmtId="0" fontId="22" fillId="25" borderId="41" xfId="0" applyFont="1" applyFill="1" applyBorder="1" applyAlignment="1" applyProtection="1">
      <alignment vertical="center" wrapText="1"/>
      <protection locked="0"/>
    </xf>
    <xf numFmtId="0" fontId="22" fillId="25" borderId="15" xfId="0" applyFont="1" applyFill="1" applyBorder="1" applyAlignment="1" applyProtection="1">
      <alignment vertical="center" wrapText="1"/>
      <protection locked="0"/>
    </xf>
    <xf numFmtId="3" fontId="22" fillId="25" borderId="13" xfId="0" applyNumberFormat="1" applyFont="1" applyFill="1" applyBorder="1" applyAlignment="1" applyProtection="1">
      <alignment vertical="center" wrapText="1"/>
      <protection locked="0"/>
    </xf>
    <xf numFmtId="0" fontId="18" fillId="0" borderId="63" xfId="0" applyFont="1" applyBorder="1" applyAlignment="1" applyProtection="1">
      <alignment vertical="center" wrapText="1"/>
      <protection locked="0"/>
    </xf>
    <xf numFmtId="0" fontId="22" fillId="17" borderId="57" xfId="0" applyFont="1" applyFill="1" applyBorder="1" applyAlignment="1" applyProtection="1">
      <alignment vertical="center" wrapText="1"/>
      <protection locked="0"/>
    </xf>
    <xf numFmtId="0" fontId="22" fillId="17" borderId="71" xfId="0" applyFont="1" applyFill="1" applyBorder="1" applyAlignment="1" applyProtection="1">
      <alignment vertical="center" wrapText="1"/>
      <protection locked="0"/>
    </xf>
    <xf numFmtId="0" fontId="0" fillId="0" borderId="30" xfId="0" applyBorder="1"/>
    <xf numFmtId="3" fontId="0" fillId="0" borderId="0" xfId="0" applyNumberFormat="1" applyAlignment="1">
      <alignment horizontal="center"/>
    </xf>
    <xf numFmtId="3" fontId="21" fillId="0" borderId="14" xfId="0" applyNumberFormat="1" applyFont="1" applyBorder="1" applyAlignment="1">
      <alignment horizontal="right" vertical="center" wrapText="1" shrinkToFit="1"/>
    </xf>
    <xf numFmtId="0" fontId="22" fillId="17" borderId="29" xfId="0" applyFont="1" applyFill="1" applyBorder="1" applyAlignment="1" applyProtection="1">
      <alignment vertical="center" wrapText="1"/>
      <protection locked="0"/>
    </xf>
    <xf numFmtId="3" fontId="22" fillId="17" borderId="30" xfId="0" applyNumberFormat="1" applyFont="1" applyFill="1" applyBorder="1" applyAlignment="1" applyProtection="1">
      <alignment horizontal="center" vertical="center" wrapText="1"/>
      <protection locked="0"/>
    </xf>
    <xf numFmtId="3" fontId="20" fillId="17" borderId="14" xfId="2" applyNumberFormat="1" applyFont="1" applyFill="1" applyBorder="1" applyProtection="1"/>
    <xf numFmtId="0" fontId="0" fillId="17" borderId="57" xfId="0" applyFill="1" applyBorder="1"/>
    <xf numFmtId="0" fontId="0" fillId="17" borderId="25" xfId="0" applyFill="1" applyBorder="1"/>
    <xf numFmtId="9" fontId="53" fillId="0" borderId="39" xfId="1" applyNumberFormat="1" applyFont="1" applyBorder="1" applyAlignment="1">
      <alignment horizontal="center"/>
      <protection locked="0"/>
    </xf>
    <xf numFmtId="9" fontId="53" fillId="0" borderId="2" xfId="1" applyNumberFormat="1" applyFont="1" applyBorder="1" applyAlignment="1">
      <alignment horizontal="center"/>
      <protection locked="0"/>
    </xf>
    <xf numFmtId="165" fontId="53" fillId="0" borderId="75" xfId="1" applyNumberFormat="1" applyFont="1" applyBorder="1">
      <protection locked="0"/>
    </xf>
    <xf numFmtId="9" fontId="0" fillId="0" borderId="77" xfId="1" applyNumberFormat="1" applyFont="1" applyBorder="1" applyAlignment="1">
      <alignment horizontal="center"/>
      <protection locked="0"/>
    </xf>
    <xf numFmtId="0" fontId="2" fillId="3" borderId="4" xfId="0" applyFont="1" applyFill="1" applyBorder="1"/>
    <xf numFmtId="165" fontId="53" fillId="0" borderId="7" xfId="1" applyNumberFormat="1" applyFont="1" applyBorder="1">
      <protection locked="0"/>
    </xf>
    <xf numFmtId="3" fontId="20" fillId="0" borderId="63" xfId="0" applyNumberFormat="1" applyFont="1" applyBorder="1" applyAlignment="1" applyProtection="1">
      <alignment vertical="center" wrapText="1"/>
      <protection locked="0"/>
    </xf>
    <xf numFmtId="3" fontId="20" fillId="0" borderId="63" xfId="0" applyNumberFormat="1" applyFont="1" applyBorder="1" applyAlignment="1" applyProtection="1">
      <alignment horizontal="center" vertical="center" wrapText="1"/>
      <protection locked="0"/>
    </xf>
    <xf numFmtId="3" fontId="20" fillId="0" borderId="45" xfId="0" applyNumberFormat="1" applyFont="1" applyBorder="1" applyAlignment="1" applyProtection="1">
      <alignment vertical="center" wrapText="1"/>
      <protection locked="0"/>
    </xf>
    <xf numFmtId="3" fontId="20" fillId="17" borderId="45" xfId="0" applyNumberFormat="1" applyFont="1" applyFill="1" applyBorder="1" applyAlignment="1" applyProtection="1">
      <alignment vertical="center" wrapText="1"/>
      <protection locked="0"/>
    </xf>
    <xf numFmtId="3" fontId="20" fillId="17" borderId="30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47" xfId="0" applyNumberFormat="1" applyFont="1" applyBorder="1" applyAlignment="1" applyProtection="1">
      <alignment vertical="center" wrapText="1"/>
      <protection locked="0"/>
    </xf>
    <xf numFmtId="3" fontId="22" fillId="0" borderId="17" xfId="0" applyNumberFormat="1" applyFont="1" applyBorder="1" applyAlignment="1" applyProtection="1">
      <alignment horizontal="right" vertical="center" wrapText="1"/>
      <protection locked="0"/>
    </xf>
    <xf numFmtId="3" fontId="18" fillId="17" borderId="28" xfId="0" applyNumberFormat="1" applyFont="1" applyFill="1" applyBorder="1" applyAlignment="1" applyProtection="1">
      <alignment vertical="center" wrapText="1"/>
      <protection locked="0"/>
    </xf>
    <xf numFmtId="3" fontId="18" fillId="25" borderId="13" xfId="0" applyNumberFormat="1" applyFont="1" applyFill="1" applyBorder="1" applyAlignment="1" applyProtection="1">
      <alignment vertical="center" wrapText="1"/>
      <protection locked="0"/>
    </xf>
    <xf numFmtId="3" fontId="22" fillId="0" borderId="25" xfId="0" applyNumberFormat="1" applyFont="1" applyBorder="1" applyAlignment="1" applyProtection="1">
      <alignment horizontal="center" vertical="center" wrapText="1"/>
      <protection locked="0"/>
    </xf>
    <xf numFmtId="3" fontId="18" fillId="0" borderId="28" xfId="0" applyNumberFormat="1" applyFont="1" applyBorder="1" applyAlignment="1" applyProtection="1">
      <alignment vertical="center" wrapText="1"/>
      <protection locked="0"/>
    </xf>
    <xf numFmtId="0" fontId="20" fillId="0" borderId="66" xfId="0" applyFont="1" applyBorder="1" applyAlignment="1" applyProtection="1">
      <alignment vertical="center" wrapText="1"/>
      <protection locked="0"/>
    </xf>
    <xf numFmtId="3" fontId="22" fillId="0" borderId="77" xfId="0" applyNumberFormat="1" applyFont="1" applyBorder="1" applyAlignment="1" applyProtection="1">
      <alignment horizontal="right" vertical="center" wrapText="1"/>
      <protection locked="0"/>
    </xf>
    <xf numFmtId="3" fontId="22" fillId="0" borderId="59" xfId="0" applyNumberFormat="1" applyFont="1" applyBorder="1" applyAlignment="1" applyProtection="1">
      <alignment horizontal="center" vertical="center" wrapText="1"/>
      <protection locked="0"/>
    </xf>
    <xf numFmtId="3" fontId="75" fillId="0" borderId="0" xfId="0" applyNumberFormat="1" applyFont="1"/>
    <xf numFmtId="3" fontId="76" fillId="0" borderId="0" xfId="0" applyNumberFormat="1" applyFont="1"/>
    <xf numFmtId="3" fontId="76" fillId="0" borderId="10" xfId="0" applyNumberFormat="1" applyFont="1" applyBorder="1"/>
    <xf numFmtId="3" fontId="20" fillId="0" borderId="9" xfId="2" applyNumberFormat="1" applyFont="1" applyBorder="1" applyProtection="1"/>
    <xf numFmtId="3" fontId="22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56" xfId="0" applyNumberFormat="1" applyFont="1" applyBorder="1" applyAlignment="1">
      <alignment vertical="center" wrapText="1" shrinkToFit="1"/>
    </xf>
    <xf numFmtId="3" fontId="11" fillId="10" borderId="49" xfId="0" applyNumberFormat="1" applyFont="1" applyFill="1" applyBorder="1" applyAlignment="1">
      <alignment vertical="center" wrapText="1" shrinkToFit="1"/>
    </xf>
    <xf numFmtId="0" fontId="22" fillId="0" borderId="18" xfId="0" applyFont="1" applyBorder="1" applyAlignment="1" applyProtection="1">
      <alignment vertical="center" wrapText="1"/>
      <protection locked="0"/>
    </xf>
    <xf numFmtId="0" fontId="22" fillId="0" borderId="50" xfId="0" applyFont="1" applyBorder="1" applyAlignment="1" applyProtection="1">
      <alignment vertical="center" wrapText="1"/>
      <protection locked="0"/>
    </xf>
    <xf numFmtId="3" fontId="22" fillId="0" borderId="64" xfId="0" applyNumberFormat="1" applyFont="1" applyBorder="1" applyAlignment="1" applyProtection="1">
      <alignment horizontal="right" vertical="center" wrapText="1"/>
      <protection locked="0"/>
    </xf>
    <xf numFmtId="49" fontId="20" fillId="0" borderId="34" xfId="0" applyNumberFormat="1" applyFont="1" applyBorder="1" applyAlignment="1" applyProtection="1">
      <alignment vertical="center" wrapText="1"/>
      <protection locked="0"/>
    </xf>
    <xf numFmtId="0" fontId="20" fillId="0" borderId="35" xfId="0" applyFont="1" applyBorder="1" applyAlignment="1" applyProtection="1">
      <alignment vertical="center" wrapText="1"/>
      <protection locked="0"/>
    </xf>
    <xf numFmtId="3" fontId="20" fillId="0" borderId="35" xfId="0" applyNumberFormat="1" applyFont="1" applyBorder="1" applyAlignment="1" applyProtection="1">
      <alignment vertical="center" wrapText="1"/>
      <protection locked="0"/>
    </xf>
    <xf numFmtId="3" fontId="21" fillId="0" borderId="21" xfId="0" applyNumberFormat="1" applyFont="1" applyBorder="1" applyAlignment="1" applyProtection="1">
      <alignment vertical="center" wrapText="1"/>
      <protection locked="0"/>
    </xf>
    <xf numFmtId="0" fontId="8" fillId="6" borderId="56" xfId="0" applyFont="1" applyFill="1" applyBorder="1" applyAlignment="1">
      <alignment horizontal="center" vertical="center" wrapText="1" shrinkToFit="1"/>
    </xf>
    <xf numFmtId="0" fontId="28" fillId="6" borderId="75" xfId="0" applyFont="1" applyFill="1" applyBorder="1" applyAlignment="1">
      <alignment horizontal="center" vertical="center"/>
    </xf>
    <xf numFmtId="0" fontId="19" fillId="20" borderId="75" xfId="0" applyFont="1" applyFill="1" applyBorder="1" applyAlignment="1">
      <alignment horizontal="center" vertical="center"/>
    </xf>
    <xf numFmtId="0" fontId="22" fillId="0" borderId="24" xfId="0" applyFont="1" applyBorder="1" applyAlignment="1" applyProtection="1">
      <alignment vertical="center" wrapText="1"/>
      <protection locked="0"/>
    </xf>
    <xf numFmtId="0" fontId="22" fillId="0" borderId="48" xfId="0" applyFont="1" applyBorder="1" applyAlignment="1" applyProtection="1">
      <alignment vertical="center" wrapText="1"/>
      <protection locked="0"/>
    </xf>
    <xf numFmtId="168" fontId="20" fillId="0" borderId="48" xfId="2" applyNumberFormat="1" applyFont="1" applyBorder="1" applyAlignment="1" applyProtection="1">
      <alignment vertical="center"/>
    </xf>
    <xf numFmtId="3" fontId="22" fillId="17" borderId="26" xfId="0" applyNumberFormat="1" applyFont="1" applyFill="1" applyBorder="1" applyAlignment="1" applyProtection="1">
      <alignment vertical="center" wrapText="1"/>
      <protection locked="0"/>
    </xf>
    <xf numFmtId="0" fontId="22" fillId="0" borderId="13" xfId="0" applyFont="1" applyBorder="1" applyAlignment="1" applyProtection="1">
      <alignment vertical="center" wrapText="1"/>
      <protection locked="0"/>
    </xf>
    <xf numFmtId="3" fontId="68" fillId="0" borderId="0" xfId="0" applyNumberFormat="1" applyFont="1" applyAlignment="1">
      <alignment horizontal="center"/>
    </xf>
    <xf numFmtId="3" fontId="20" fillId="0" borderId="32" xfId="2" applyNumberFormat="1" applyFont="1" applyBorder="1" applyProtection="1"/>
    <xf numFmtId="3" fontId="22" fillId="2" borderId="25" xfId="0" applyNumberFormat="1" applyFont="1" applyFill="1" applyBorder="1" applyAlignment="1" applyProtection="1">
      <alignment vertical="center" wrapText="1"/>
      <protection locked="0"/>
    </xf>
    <xf numFmtId="3" fontId="22" fillId="2" borderId="26" xfId="0" applyNumberFormat="1" applyFont="1" applyFill="1" applyBorder="1" applyAlignment="1" applyProtection="1">
      <alignment vertical="center" wrapText="1"/>
      <protection locked="0"/>
    </xf>
    <xf numFmtId="0" fontId="22" fillId="17" borderId="50" xfId="0" applyFont="1" applyFill="1" applyBorder="1" applyAlignment="1" applyProtection="1">
      <alignment vertical="center" wrapText="1"/>
      <protection locked="0"/>
    </xf>
    <xf numFmtId="0" fontId="0" fillId="17" borderId="18" xfId="0" applyFill="1" applyBorder="1" applyAlignment="1">
      <alignment vertical="center" wrapText="1"/>
    </xf>
    <xf numFmtId="0" fontId="0" fillId="17" borderId="66" xfId="0" applyFill="1" applyBorder="1" applyAlignment="1">
      <alignment vertical="center" wrapText="1"/>
    </xf>
    <xf numFmtId="9" fontId="0" fillId="17" borderId="18" xfId="0" applyNumberFormat="1" applyFill="1" applyBorder="1" applyAlignment="1">
      <alignment vertical="center" wrapText="1"/>
    </xf>
    <xf numFmtId="3" fontId="12" fillId="3" borderId="39" xfId="0" applyNumberFormat="1" applyFont="1" applyFill="1" applyBorder="1" applyAlignment="1">
      <alignment horizontal="center" vertical="center" wrapText="1" shrinkToFit="1"/>
    </xf>
    <xf numFmtId="0" fontId="8" fillId="6" borderId="73" xfId="0" applyFont="1" applyFill="1" applyBorder="1" applyAlignment="1">
      <alignment horizontal="center" vertical="center" wrapText="1" shrinkToFit="1"/>
    </xf>
    <xf numFmtId="3" fontId="11" fillId="0" borderId="66" xfId="0" applyNumberFormat="1" applyFont="1" applyBorder="1" applyAlignment="1">
      <alignment vertical="center" wrapText="1" shrinkToFit="1"/>
    </xf>
    <xf numFmtId="3" fontId="11" fillId="0" borderId="63" xfId="0" applyNumberFormat="1" applyFont="1" applyBorder="1" applyAlignment="1">
      <alignment horizontal="right" vertical="center" wrapText="1" shrinkToFit="1"/>
    </xf>
    <xf numFmtId="3" fontId="32" fillId="0" borderId="63" xfId="0" applyNumberFormat="1" applyFont="1" applyBorder="1" applyAlignment="1">
      <alignment horizontal="right" vertical="center" wrapText="1" shrinkToFit="1"/>
    </xf>
    <xf numFmtId="3" fontId="11" fillId="0" borderId="64" xfId="0" applyNumberFormat="1" applyFont="1" applyBorder="1" applyAlignment="1">
      <alignment horizontal="right" vertical="center" wrapText="1" shrinkToFit="1"/>
    </xf>
    <xf numFmtId="3" fontId="9" fillId="0" borderId="61" xfId="0" applyNumberFormat="1" applyFont="1" applyBorder="1" applyAlignment="1">
      <alignment horizontal="right" vertical="center" wrapText="1" shrinkToFit="1"/>
    </xf>
    <xf numFmtId="3" fontId="9" fillId="0" borderId="63" xfId="0" applyNumberFormat="1" applyFont="1" applyBorder="1" applyAlignment="1">
      <alignment horizontal="right" vertical="center" wrapText="1" shrinkToFit="1"/>
    </xf>
    <xf numFmtId="49" fontId="9" fillId="0" borderId="28" xfId="0" applyNumberFormat="1" applyFont="1" applyBorder="1" applyAlignment="1">
      <alignment vertical="center" wrapText="1" shrinkToFit="1"/>
    </xf>
    <xf numFmtId="49" fontId="9" fillId="0" borderId="14" xfId="0" applyNumberFormat="1" applyFont="1" applyBorder="1" applyAlignment="1">
      <alignment vertical="center" wrapText="1" shrinkToFit="1"/>
    </xf>
    <xf numFmtId="49" fontId="9" fillId="0" borderId="21" xfId="0" applyNumberFormat="1" applyFont="1" applyBorder="1" applyAlignment="1">
      <alignment vertical="center" wrapText="1" shrinkToFit="1"/>
    </xf>
    <xf numFmtId="49" fontId="32" fillId="0" borderId="14" xfId="0" applyNumberFormat="1" applyFont="1" applyBorder="1" applyAlignment="1">
      <alignment vertical="center" wrapText="1" shrinkToFit="1"/>
    </xf>
    <xf numFmtId="49" fontId="11" fillId="0" borderId="70" xfId="0" applyNumberFormat="1" applyFont="1" applyBorder="1" applyAlignment="1">
      <alignment horizontal="left" vertical="center" wrapText="1" shrinkToFit="1"/>
    </xf>
    <xf numFmtId="49" fontId="9" fillId="0" borderId="38" xfId="0" applyNumberFormat="1" applyFont="1" applyBorder="1" applyAlignment="1">
      <alignment vertical="center" wrapText="1" shrinkToFit="1"/>
    </xf>
    <xf numFmtId="49" fontId="9" fillId="0" borderId="26" xfId="0" applyNumberFormat="1" applyFont="1" applyBorder="1" applyAlignment="1">
      <alignment vertical="center" wrapText="1" shrinkToFit="1"/>
    </xf>
    <xf numFmtId="49" fontId="10" fillId="10" borderId="7" xfId="0" applyNumberFormat="1" applyFont="1" applyFill="1" applyBorder="1" applyAlignment="1">
      <alignment horizontal="left" vertical="center" wrapText="1" shrinkToFit="1"/>
    </xf>
    <xf numFmtId="49" fontId="10" fillId="10" borderId="7" xfId="0" applyNumberFormat="1" applyFont="1" applyFill="1" applyBorder="1" applyAlignment="1">
      <alignment vertical="center" wrapText="1" shrinkToFit="1"/>
    </xf>
    <xf numFmtId="49" fontId="10" fillId="10" borderId="70" xfId="0" applyNumberFormat="1" applyFont="1" applyFill="1" applyBorder="1" applyAlignment="1">
      <alignment vertical="center" wrapText="1" shrinkToFit="1"/>
    </xf>
    <xf numFmtId="49" fontId="10" fillId="10" borderId="13" xfId="0" applyNumberFormat="1" applyFont="1" applyFill="1" applyBorder="1" applyAlignment="1">
      <alignment vertical="center" wrapText="1" shrinkToFit="1"/>
    </xf>
    <xf numFmtId="3" fontId="10" fillId="10" borderId="40" xfId="0" applyNumberFormat="1" applyFont="1" applyFill="1" applyBorder="1" applyAlignment="1">
      <alignment vertical="center" wrapText="1" shrinkToFit="1"/>
    </xf>
    <xf numFmtId="3" fontId="10" fillId="10" borderId="9" xfId="0" applyNumberFormat="1" applyFont="1" applyFill="1" applyBorder="1" applyAlignment="1">
      <alignment vertical="center" wrapText="1" shrinkToFit="1"/>
    </xf>
    <xf numFmtId="3" fontId="22" fillId="0" borderId="15" xfId="0" applyNumberFormat="1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horizontal="right" vertical="center" wrapText="1"/>
      <protection locked="0"/>
    </xf>
    <xf numFmtId="3" fontId="24" fillId="0" borderId="45" xfId="0" applyNumberFormat="1" applyFont="1" applyBorder="1" applyAlignment="1" applyProtection="1">
      <alignment horizontal="right" vertical="center" wrapText="1"/>
      <protection locked="0"/>
    </xf>
    <xf numFmtId="3" fontId="24" fillId="0" borderId="64" xfId="0" applyNumberFormat="1" applyFont="1" applyBorder="1" applyAlignment="1" applyProtection="1">
      <alignment horizontal="right" vertical="center" wrapText="1"/>
      <protection locked="0"/>
    </xf>
    <xf numFmtId="3" fontId="22" fillId="0" borderId="59" xfId="0" applyNumberFormat="1" applyFont="1" applyBorder="1" applyAlignment="1" applyProtection="1">
      <alignment horizontal="right" vertical="center" wrapText="1"/>
      <protection locked="0"/>
    </xf>
    <xf numFmtId="168" fontId="20" fillId="0" borderId="77" xfId="2" applyNumberFormat="1" applyFont="1" applyBorder="1" applyAlignment="1" applyProtection="1">
      <alignment vertical="center"/>
    </xf>
    <xf numFmtId="0" fontId="8" fillId="19" borderId="65" xfId="0" applyFont="1" applyFill="1" applyBorder="1" applyAlignment="1">
      <alignment horizontal="center" vertical="center" wrapText="1" shrinkToFit="1"/>
    </xf>
    <xf numFmtId="0" fontId="19" fillId="20" borderId="37" xfId="0" applyFont="1" applyFill="1" applyBorder="1" applyAlignment="1">
      <alignment horizontal="center" vertical="center"/>
    </xf>
    <xf numFmtId="0" fontId="19" fillId="20" borderId="65" xfId="0" applyFont="1" applyFill="1" applyBorder="1" applyAlignment="1">
      <alignment horizontal="center" vertical="center"/>
    </xf>
    <xf numFmtId="3" fontId="22" fillId="0" borderId="56" xfId="0" applyNumberFormat="1" applyFont="1" applyBorder="1" applyAlignment="1" applyProtection="1">
      <alignment vertical="center" wrapText="1"/>
      <protection locked="0"/>
    </xf>
    <xf numFmtId="3" fontId="11" fillId="0" borderId="57" xfId="0" applyNumberFormat="1" applyFont="1" applyBorder="1" applyAlignment="1">
      <alignment vertical="center" wrapText="1" shrinkToFit="1"/>
    </xf>
    <xf numFmtId="165" fontId="40" fillId="0" borderId="0" xfId="1" applyNumberFormat="1" applyBorder="1">
      <protection locked="0"/>
    </xf>
    <xf numFmtId="165" fontId="1" fillId="0" borderId="66" xfId="0" applyNumberFormat="1" applyFont="1" applyBorder="1"/>
    <xf numFmtId="165" fontId="1" fillId="0" borderId="35" xfId="0" applyNumberFormat="1" applyFont="1" applyBorder="1"/>
    <xf numFmtId="165" fontId="1" fillId="0" borderId="37" xfId="0" applyNumberFormat="1" applyFont="1" applyBorder="1"/>
    <xf numFmtId="3" fontId="11" fillId="0" borderId="77" xfId="0" applyNumberFormat="1" applyFont="1" applyBorder="1" applyAlignment="1">
      <alignment vertical="center" wrapText="1" shrinkToFit="1"/>
    </xf>
    <xf numFmtId="3" fontId="9" fillId="0" borderId="64" xfId="0" applyNumberFormat="1" applyFont="1" applyBorder="1" applyAlignment="1">
      <alignment horizontal="right" vertical="center" wrapText="1" shrinkToFit="1"/>
    </xf>
    <xf numFmtId="3" fontId="11" fillId="0" borderId="24" xfId="0" applyNumberFormat="1" applyFont="1" applyBorder="1" applyAlignment="1">
      <alignment vertical="center" wrapText="1" shrinkToFit="1"/>
    </xf>
    <xf numFmtId="3" fontId="11" fillId="0" borderId="24" xfId="0" applyNumberFormat="1" applyFont="1" applyBorder="1" applyAlignment="1">
      <alignment horizontal="right" vertical="center" wrapText="1" shrinkToFit="1"/>
    </xf>
    <xf numFmtId="3" fontId="9" fillId="0" borderId="29" xfId="0" applyNumberFormat="1" applyFont="1" applyBorder="1" applyAlignment="1">
      <alignment vertical="center" wrapText="1" shrinkToFit="1"/>
    </xf>
    <xf numFmtId="3" fontId="9" fillId="0" borderId="36" xfId="0" applyNumberFormat="1" applyFont="1" applyBorder="1" applyAlignment="1">
      <alignment vertical="center" wrapText="1" shrinkToFit="1"/>
    </xf>
    <xf numFmtId="3" fontId="10" fillId="10" borderId="47" xfId="0" applyNumberFormat="1" applyFont="1" applyFill="1" applyBorder="1" applyAlignment="1">
      <alignment horizontal="right" vertical="center" wrapText="1" shrinkToFit="1"/>
    </xf>
    <xf numFmtId="3" fontId="10" fillId="10" borderId="48" xfId="0" applyNumberFormat="1" applyFont="1" applyFill="1" applyBorder="1" applyAlignment="1">
      <alignment horizontal="right" vertical="center" wrapText="1" shrinkToFit="1"/>
    </xf>
    <xf numFmtId="1" fontId="17" fillId="9" borderId="7" xfId="0" applyNumberFormat="1" applyFont="1" applyFill="1" applyBorder="1" applyAlignment="1">
      <alignment horizontal="center"/>
    </xf>
    <xf numFmtId="0" fontId="28" fillId="6" borderId="37" xfId="0" applyFont="1" applyFill="1" applyBorder="1" applyAlignment="1">
      <alignment horizontal="center" vertical="center"/>
    </xf>
    <xf numFmtId="3" fontId="22" fillId="0" borderId="73" xfId="0" applyNumberFormat="1" applyFont="1" applyBorder="1" applyAlignment="1" applyProtection="1">
      <alignment vertical="center" wrapText="1"/>
      <protection locked="0"/>
    </xf>
    <xf numFmtId="3" fontId="22" fillId="0" borderId="61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167" fontId="7" fillId="0" borderId="0" xfId="2" applyNumberFormat="1" applyFont="1" applyBorder="1" applyAlignment="1" applyProtection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14" fillId="0" borderId="0" xfId="0" applyFont="1" applyAlignment="1">
      <alignment vertical="center" wrapText="1"/>
    </xf>
    <xf numFmtId="3" fontId="14" fillId="0" borderId="0" xfId="0" applyNumberFormat="1" applyFont="1" applyAlignment="1">
      <alignment horizontal="right" vertical="center"/>
    </xf>
    <xf numFmtId="0" fontId="69" fillId="0" borderId="0" xfId="0" applyFont="1" applyAlignment="1">
      <alignment vertical="center" wrapText="1"/>
    </xf>
    <xf numFmtId="3" fontId="69" fillId="0" borderId="0" xfId="0" applyNumberFormat="1" applyFont="1" applyAlignment="1">
      <alignment horizontal="right" vertical="center"/>
    </xf>
    <xf numFmtId="0" fontId="69" fillId="0" borderId="0" xfId="0" applyFont="1" applyAlignment="1">
      <alignment vertical="center"/>
    </xf>
    <xf numFmtId="3" fontId="18" fillId="0" borderId="12" xfId="0" applyNumberFormat="1" applyFont="1" applyBorder="1" applyAlignment="1" applyProtection="1">
      <alignment vertical="center" wrapText="1"/>
      <protection locked="0"/>
    </xf>
    <xf numFmtId="3" fontId="24" fillId="0" borderId="12" xfId="0" applyNumberFormat="1" applyFont="1" applyBorder="1" applyAlignment="1" applyProtection="1">
      <alignment vertical="center" wrapText="1"/>
      <protection locked="0"/>
    </xf>
    <xf numFmtId="0" fontId="13" fillId="0" borderId="0" xfId="0" applyFont="1" applyAlignment="1">
      <alignment vertical="center"/>
    </xf>
    <xf numFmtId="3" fontId="43" fillId="0" borderId="0" xfId="0" applyNumberFormat="1" applyFont="1" applyAlignment="1">
      <alignment vertical="center"/>
    </xf>
    <xf numFmtId="3" fontId="26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3" fontId="17" fillId="0" borderId="0" xfId="0" applyNumberFormat="1" applyFont="1" applyAlignment="1">
      <alignment vertical="center"/>
    </xf>
    <xf numFmtId="3" fontId="26" fillId="0" borderId="10" xfId="0" applyNumberFormat="1" applyFont="1" applyBorder="1" applyAlignment="1">
      <alignment vertical="center"/>
    </xf>
    <xf numFmtId="3" fontId="18" fillId="24" borderId="45" xfId="0" applyNumberFormat="1" applyFont="1" applyFill="1" applyBorder="1" applyAlignment="1" applyProtection="1">
      <alignment horizontal="right" vertical="center" wrapText="1"/>
      <protection locked="0"/>
    </xf>
    <xf numFmtId="3" fontId="21" fillId="24" borderId="45" xfId="1" applyNumberFormat="1" applyFont="1" applyFill="1" applyBorder="1" applyAlignment="1">
      <alignment vertical="center"/>
      <protection locked="0"/>
    </xf>
    <xf numFmtId="3" fontId="21" fillId="24" borderId="45" xfId="1" applyNumberFormat="1" applyFont="1" applyFill="1" applyBorder="1" applyAlignment="1">
      <alignment horizontal="center" vertical="center"/>
      <protection locked="0"/>
    </xf>
    <xf numFmtId="3" fontId="21" fillId="24" borderId="9" xfId="1" applyNumberFormat="1" applyFont="1" applyFill="1" applyBorder="1" applyAlignment="1">
      <alignment vertical="center"/>
      <protection locked="0"/>
    </xf>
    <xf numFmtId="3" fontId="24" fillId="0" borderId="46" xfId="0" applyNumberFormat="1" applyFont="1" applyBorder="1" applyAlignment="1" applyProtection="1">
      <alignment horizontal="right" vertical="center" wrapText="1"/>
      <protection locked="0"/>
    </xf>
    <xf numFmtId="3" fontId="25" fillId="0" borderId="30" xfId="1" applyNumberFormat="1" applyFont="1" applyBorder="1" applyAlignment="1">
      <alignment vertical="center"/>
      <protection locked="0"/>
    </xf>
    <xf numFmtId="3" fontId="21" fillId="0" borderId="64" xfId="1" applyNumberFormat="1" applyFont="1" applyBorder="1" applyAlignment="1">
      <alignment horizontal="center" vertical="center"/>
      <protection locked="0"/>
    </xf>
    <xf numFmtId="3" fontId="25" fillId="0" borderId="9" xfId="1" applyNumberFormat="1" applyFont="1" applyBorder="1" applyAlignment="1">
      <alignment vertical="center"/>
      <protection locked="0"/>
    </xf>
    <xf numFmtId="3" fontId="24" fillId="0" borderId="41" xfId="0" applyNumberFormat="1" applyFont="1" applyBorder="1" applyAlignment="1" applyProtection="1">
      <alignment horizontal="right" vertical="center" wrapText="1"/>
      <protection locked="0"/>
    </xf>
    <xf numFmtId="3" fontId="25" fillId="0" borderId="12" xfId="1" applyNumberFormat="1" applyFont="1" applyBorder="1" applyAlignment="1">
      <alignment vertical="center"/>
      <protection locked="0"/>
    </xf>
    <xf numFmtId="3" fontId="25" fillId="0" borderId="64" xfId="1" applyNumberFormat="1" applyFont="1" applyBorder="1" applyAlignment="1">
      <alignment horizontal="center" vertical="center"/>
      <protection locked="0"/>
    </xf>
    <xf numFmtId="3" fontId="25" fillId="0" borderId="15" xfId="1" applyNumberFormat="1" applyFont="1" applyBorder="1" applyAlignment="1">
      <alignment horizontal="center" vertical="center"/>
      <protection locked="0"/>
    </xf>
    <xf numFmtId="3" fontId="18" fillId="24" borderId="59" xfId="0" applyNumberFormat="1" applyFont="1" applyFill="1" applyBorder="1" applyAlignment="1" applyProtection="1">
      <alignment horizontal="right" vertical="center" wrapText="1"/>
      <protection locked="0"/>
    </xf>
    <xf numFmtId="3" fontId="21" fillId="24" borderId="28" xfId="1" applyNumberFormat="1" applyFont="1" applyFill="1" applyBorder="1" applyAlignment="1">
      <alignment horizontal="center" vertical="center"/>
      <protection locked="0"/>
    </xf>
    <xf numFmtId="3" fontId="21" fillId="24" borderId="32" xfId="1" applyNumberFormat="1" applyFont="1" applyFill="1" applyBorder="1" applyAlignment="1">
      <alignment vertical="center"/>
      <protection locked="0"/>
    </xf>
    <xf numFmtId="3" fontId="21" fillId="0" borderId="10" xfId="1" applyNumberFormat="1" applyFont="1" applyBorder="1" applyAlignment="1">
      <alignment horizontal="center" vertical="center"/>
      <protection locked="0"/>
    </xf>
    <xf numFmtId="3" fontId="18" fillId="24" borderId="30" xfId="0" applyNumberFormat="1" applyFont="1" applyFill="1" applyBorder="1" applyAlignment="1" applyProtection="1">
      <alignment horizontal="right" vertical="center" wrapText="1"/>
      <protection locked="0"/>
    </xf>
    <xf numFmtId="3" fontId="21" fillId="24" borderId="30" xfId="1" applyNumberFormat="1" applyFont="1" applyFill="1" applyBorder="1" applyAlignment="1">
      <alignment vertical="center"/>
      <protection locked="0"/>
    </xf>
    <xf numFmtId="3" fontId="21" fillId="24" borderId="14" xfId="1" applyNumberFormat="1" applyFont="1" applyFill="1" applyBorder="1" applyAlignment="1">
      <alignment horizontal="center" vertical="center"/>
      <protection locked="0"/>
    </xf>
    <xf numFmtId="3" fontId="21" fillId="24" borderId="12" xfId="1" applyNumberFormat="1" applyFont="1" applyFill="1" applyBorder="1" applyAlignment="1">
      <alignment vertical="center"/>
      <protection locked="0"/>
    </xf>
    <xf numFmtId="3" fontId="20" fillId="0" borderId="64" xfId="1" applyNumberFormat="1" applyFont="1" applyBorder="1" applyAlignment="1">
      <alignment horizontal="center" vertical="center"/>
      <protection locked="0"/>
    </xf>
    <xf numFmtId="3" fontId="20" fillId="0" borderId="10" xfId="1" applyNumberFormat="1" applyFont="1" applyBorder="1" applyAlignment="1">
      <alignment horizontal="center" vertical="center"/>
      <protection locked="0"/>
    </xf>
    <xf numFmtId="3" fontId="36" fillId="24" borderId="30" xfId="1" applyNumberFormat="1" applyFont="1" applyFill="1" applyBorder="1" applyAlignment="1">
      <alignment vertical="center"/>
      <protection locked="0"/>
    </xf>
    <xf numFmtId="3" fontId="25" fillId="0" borderId="45" xfId="1" applyNumberFormat="1" applyFont="1" applyBorder="1" applyAlignment="1">
      <alignment horizontal="center" vertical="center"/>
      <protection locked="0"/>
    </xf>
    <xf numFmtId="3" fontId="20" fillId="0" borderId="30" xfId="1" applyNumberFormat="1" applyFont="1" applyBorder="1" applyAlignment="1">
      <alignment vertical="center"/>
      <protection locked="0"/>
    </xf>
    <xf numFmtId="3" fontId="20" fillId="0" borderId="30" xfId="1" applyNumberFormat="1" applyFont="1" applyBorder="1" applyAlignment="1">
      <alignment horizontal="center" vertical="center"/>
      <protection locked="0"/>
    </xf>
    <xf numFmtId="3" fontId="20" fillId="0" borderId="12" xfId="1" applyNumberFormat="1" applyFont="1" applyBorder="1" applyAlignment="1">
      <alignment vertical="center"/>
      <protection locked="0"/>
    </xf>
    <xf numFmtId="3" fontId="20" fillId="0" borderId="45" xfId="1" applyNumberFormat="1" applyFont="1" applyBorder="1" applyAlignment="1">
      <alignment horizontal="center" vertical="center"/>
      <protection locked="0"/>
    </xf>
    <xf numFmtId="3" fontId="20" fillId="0" borderId="9" xfId="1" applyNumberFormat="1" applyFont="1" applyBorder="1" applyAlignment="1">
      <alignment vertical="center"/>
      <protection locked="0"/>
    </xf>
    <xf numFmtId="3" fontId="20" fillId="0" borderId="17" xfId="1" applyNumberFormat="1" applyFont="1" applyBorder="1" applyAlignment="1">
      <alignment vertical="center"/>
      <protection locked="0"/>
    </xf>
    <xf numFmtId="0" fontId="7" fillId="0" borderId="0" xfId="0" applyFont="1" applyAlignment="1">
      <alignment vertical="center"/>
    </xf>
    <xf numFmtId="3" fontId="18" fillId="24" borderId="45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left" vertical="center"/>
    </xf>
    <xf numFmtId="3" fontId="22" fillId="0" borderId="65" xfId="0" applyNumberFormat="1" applyFont="1" applyBorder="1" applyAlignment="1" applyProtection="1">
      <alignment horizontal="right" vertical="center" wrapText="1"/>
      <protection locked="0"/>
    </xf>
    <xf numFmtId="3" fontId="22" fillId="0" borderId="66" xfId="0" applyNumberFormat="1" applyFont="1" applyBorder="1" applyAlignment="1" applyProtection="1">
      <alignment horizontal="right" vertical="center" wrapText="1"/>
      <protection locked="0"/>
    </xf>
    <xf numFmtId="3" fontId="20" fillId="0" borderId="43" xfId="1" applyNumberFormat="1" applyFont="1" applyBorder="1" applyAlignment="1">
      <alignment vertical="center"/>
      <protection locked="0"/>
    </xf>
    <xf numFmtId="3" fontId="21" fillId="16" borderId="48" xfId="1" applyNumberFormat="1" applyFont="1" applyFill="1" applyBorder="1" applyAlignment="1">
      <alignment horizontal="center" vertical="center"/>
      <protection locked="0"/>
    </xf>
    <xf numFmtId="3" fontId="21" fillId="16" borderId="2" xfId="1" applyNumberFormat="1" applyFont="1" applyFill="1" applyBorder="1" applyAlignment="1">
      <alignment vertical="center"/>
      <protection locked="0"/>
    </xf>
    <xf numFmtId="3" fontId="16" fillId="0" borderId="0" xfId="2" applyNumberFormat="1" applyBorder="1" applyAlignment="1" applyProtection="1">
      <alignment vertical="center"/>
    </xf>
    <xf numFmtId="3" fontId="17" fillId="9" borderId="48" xfId="2" applyNumberFormat="1" applyFont="1" applyFill="1" applyBorder="1" applyAlignment="1" applyProtection="1">
      <alignment vertical="center"/>
    </xf>
    <xf numFmtId="3" fontId="17" fillId="9" borderId="53" xfId="2" applyNumberFormat="1" applyFont="1" applyFill="1" applyBorder="1" applyAlignment="1" applyProtection="1">
      <alignment horizontal="center" vertical="center"/>
    </xf>
    <xf numFmtId="3" fontId="17" fillId="9" borderId="2" xfId="2" applyNumberFormat="1" applyFont="1" applyFill="1" applyBorder="1" applyAlignment="1" applyProtection="1">
      <alignment vertical="center"/>
    </xf>
    <xf numFmtId="168" fontId="7" fillId="0" borderId="0" xfId="2" applyNumberFormat="1" applyFont="1" applyBorder="1" applyAlignment="1" applyProtection="1">
      <alignment vertical="center"/>
    </xf>
    <xf numFmtId="0" fontId="17" fillId="0" borderId="0" xfId="0" applyFont="1" applyAlignment="1">
      <alignment vertical="center"/>
    </xf>
    <xf numFmtId="167" fontId="16" fillId="0" borderId="0" xfId="2" applyNumberFormat="1" applyBorder="1" applyAlignment="1" applyProtection="1">
      <alignment vertical="center"/>
    </xf>
    <xf numFmtId="0" fontId="22" fillId="0" borderId="29" xfId="0" applyFont="1" applyBorder="1" applyAlignment="1" applyProtection="1">
      <alignment horizontal="left" vertical="center" wrapText="1"/>
      <protection locked="0"/>
    </xf>
    <xf numFmtId="3" fontId="9" fillId="0" borderId="47" xfId="0" applyNumberFormat="1" applyFont="1" applyBorder="1" applyAlignment="1">
      <alignment vertical="center" wrapText="1" shrinkToFit="1"/>
    </xf>
    <xf numFmtId="3" fontId="9" fillId="0" borderId="48" xfId="0" applyNumberFormat="1" applyFont="1" applyBorder="1" applyAlignment="1">
      <alignment vertical="center" wrapText="1" shrinkToFit="1"/>
    </xf>
    <xf numFmtId="3" fontId="9" fillId="0" borderId="20" xfId="0" applyNumberFormat="1" applyFont="1" applyBorder="1" applyAlignment="1">
      <alignment horizontal="center" vertical="center" wrapText="1" shrinkToFit="1"/>
    </xf>
    <xf numFmtId="49" fontId="11" fillId="0" borderId="37" xfId="0" applyNumberFormat="1" applyFont="1" applyBorder="1" applyAlignment="1">
      <alignment horizontal="left" vertical="center" wrapText="1" shrinkToFit="1"/>
    </xf>
    <xf numFmtId="3" fontId="11" fillId="0" borderId="37" xfId="0" applyNumberFormat="1" applyFont="1" applyBorder="1" applyAlignment="1">
      <alignment vertical="center" wrapText="1" shrinkToFit="1"/>
    </xf>
    <xf numFmtId="3" fontId="11" fillId="0" borderId="78" xfId="0" applyNumberFormat="1" applyFont="1" applyBorder="1" applyAlignment="1">
      <alignment horizontal="center" vertical="center" wrapText="1" shrinkToFit="1"/>
    </xf>
    <xf numFmtId="3" fontId="9" fillId="0" borderId="24" xfId="0" applyNumberFormat="1" applyFont="1" applyBorder="1" applyAlignment="1">
      <alignment vertical="center" wrapText="1" shrinkToFit="1"/>
    </xf>
    <xf numFmtId="3" fontId="12" fillId="5" borderId="2" xfId="0" applyNumberFormat="1" applyFont="1" applyFill="1" applyBorder="1" applyAlignment="1">
      <alignment horizontal="center" vertical="center" wrapText="1" shrinkToFit="1"/>
    </xf>
    <xf numFmtId="3" fontId="15" fillId="6" borderId="2" xfId="0" applyNumberFormat="1" applyFont="1" applyFill="1" applyBorder="1" applyAlignment="1">
      <alignment horizontal="center" vertical="center"/>
    </xf>
    <xf numFmtId="3" fontId="9" fillId="0" borderId="77" xfId="0" applyNumberFormat="1" applyFont="1" applyBorder="1" applyAlignment="1">
      <alignment horizontal="right" vertical="center" wrapText="1" shrinkToFit="1"/>
    </xf>
    <xf numFmtId="3" fontId="9" fillId="0" borderId="56" xfId="0" applyNumberFormat="1" applyFont="1" applyBorder="1" applyAlignment="1">
      <alignment horizontal="right" vertical="center" wrapText="1" shrinkToFit="1"/>
    </xf>
    <xf numFmtId="3" fontId="12" fillId="5" borderId="47" xfId="0" applyNumberFormat="1" applyFont="1" applyFill="1" applyBorder="1" applyAlignment="1">
      <alignment vertical="center" wrapText="1" shrinkToFit="1"/>
    </xf>
    <xf numFmtId="3" fontId="12" fillId="5" borderId="7" xfId="0" applyNumberFormat="1" applyFont="1" applyFill="1" applyBorder="1" applyAlignment="1">
      <alignment horizontal="center" vertical="center" wrapText="1" shrinkToFit="1"/>
    </xf>
    <xf numFmtId="3" fontId="12" fillId="5" borderId="49" xfId="0" applyNumberFormat="1" applyFont="1" applyFill="1" applyBorder="1" applyAlignment="1">
      <alignment vertical="center" wrapText="1" shrinkToFit="1"/>
    </xf>
    <xf numFmtId="0" fontId="22" fillId="4" borderId="0" xfId="0" applyFont="1" applyFill="1" applyAlignment="1" applyProtection="1">
      <alignment vertical="center" wrapText="1"/>
      <protection locked="0"/>
    </xf>
    <xf numFmtId="3" fontId="18" fillId="4" borderId="78" xfId="0" applyNumberFormat="1" applyFont="1" applyFill="1" applyBorder="1" applyAlignment="1" applyProtection="1">
      <alignment vertical="center" wrapText="1"/>
      <protection locked="0"/>
    </xf>
    <xf numFmtId="0" fontId="22" fillId="4" borderId="65" xfId="0" applyFont="1" applyFill="1" applyBorder="1" applyAlignment="1" applyProtection="1">
      <alignment vertical="center" wrapText="1"/>
      <protection locked="0"/>
    </xf>
    <xf numFmtId="1" fontId="16" fillId="0" borderId="0" xfId="0" applyNumberFormat="1" applyFont="1"/>
    <xf numFmtId="3" fontId="22" fillId="0" borderId="10" xfId="0" applyNumberFormat="1" applyFont="1" applyBorder="1" applyAlignment="1" applyProtection="1">
      <alignment vertical="center" wrapText="1"/>
      <protection locked="0"/>
    </xf>
    <xf numFmtId="0" fontId="21" fillId="6" borderId="30" xfId="0" applyFont="1" applyFill="1" applyBorder="1" applyAlignment="1">
      <alignment horizontal="center" vertical="center" wrapText="1" shrinkToFit="1"/>
    </xf>
    <xf numFmtId="0" fontId="21" fillId="6" borderId="14" xfId="0" applyFont="1" applyFill="1" applyBorder="1" applyAlignment="1">
      <alignment horizontal="center" vertical="center" wrapText="1" shrinkToFit="1"/>
    </xf>
    <xf numFmtId="0" fontId="21" fillId="6" borderId="28" xfId="0" applyFont="1" applyFill="1" applyBorder="1" applyAlignment="1">
      <alignment horizontal="center" vertical="center" wrapText="1" shrinkToFit="1"/>
    </xf>
    <xf numFmtId="3" fontId="24" fillId="0" borderId="0" xfId="0" applyNumberFormat="1" applyFont="1" applyAlignment="1" applyProtection="1">
      <alignment vertical="center" wrapText="1"/>
      <protection locked="0"/>
    </xf>
    <xf numFmtId="3" fontId="18" fillId="0" borderId="78" xfId="0" applyNumberFormat="1" applyFont="1" applyBorder="1" applyAlignment="1" applyProtection="1">
      <alignment vertical="center" wrapText="1"/>
      <protection locked="0"/>
    </xf>
    <xf numFmtId="49" fontId="22" fillId="0" borderId="11" xfId="0" applyNumberFormat="1" applyFont="1" applyBorder="1" applyAlignment="1" applyProtection="1">
      <alignment vertical="center" wrapText="1"/>
      <protection locked="0"/>
    </xf>
    <xf numFmtId="3" fontId="18" fillId="0" borderId="27" xfId="0" applyNumberFormat="1" applyFont="1" applyBorder="1" applyAlignment="1" applyProtection="1">
      <alignment vertical="center" wrapText="1"/>
      <protection locked="0"/>
    </xf>
    <xf numFmtId="49" fontId="22" fillId="0" borderId="16" xfId="0" applyNumberFormat="1" applyFont="1" applyBorder="1" applyAlignment="1" applyProtection="1">
      <alignment vertical="center" wrapText="1"/>
      <protection locked="0"/>
    </xf>
    <xf numFmtId="3" fontId="18" fillId="0" borderId="13" xfId="0" applyNumberFormat="1" applyFont="1" applyBorder="1" applyAlignment="1" applyProtection="1">
      <alignment vertical="center" wrapText="1"/>
      <protection locked="0"/>
    </xf>
    <xf numFmtId="3" fontId="8" fillId="0" borderId="25" xfId="0" applyNumberFormat="1" applyFont="1" applyBorder="1" applyAlignment="1">
      <alignment vertical="center" wrapText="1" shrinkToFit="1"/>
    </xf>
    <xf numFmtId="3" fontId="11" fillId="0" borderId="27" xfId="0" applyNumberFormat="1" applyFont="1" applyBorder="1" applyAlignment="1">
      <alignment horizontal="center" vertical="center" wrapText="1" shrinkToFit="1"/>
    </xf>
    <xf numFmtId="3" fontId="11" fillId="0" borderId="25" xfId="0" applyNumberFormat="1" applyFont="1" applyBorder="1" applyAlignment="1">
      <alignment horizontal="right" vertical="center" wrapText="1" shrinkToFit="1"/>
    </xf>
    <xf numFmtId="3" fontId="11" fillId="0" borderId="59" xfId="0" applyNumberFormat="1" applyFont="1" applyBorder="1" applyAlignment="1">
      <alignment horizontal="right" vertical="center" wrapText="1" shrinkToFit="1"/>
    </xf>
    <xf numFmtId="3" fontId="11" fillId="0" borderId="35" xfId="0" applyNumberFormat="1" applyFont="1" applyBorder="1" applyAlignment="1">
      <alignment horizontal="right" vertical="center" wrapText="1" shrinkToFit="1"/>
    </xf>
    <xf numFmtId="1" fontId="11" fillId="0" borderId="10" xfId="0" applyNumberFormat="1" applyFont="1" applyBorder="1" applyAlignment="1">
      <alignment horizontal="center" vertical="center" wrapText="1" shrinkToFit="1"/>
    </xf>
    <xf numFmtId="3" fontId="11" fillId="0" borderId="13" xfId="0" applyNumberFormat="1" applyFont="1" applyBorder="1" applyAlignment="1">
      <alignment horizontal="center" vertical="center" wrapText="1" shrinkToFit="1"/>
    </xf>
    <xf numFmtId="3" fontId="11" fillId="0" borderId="70" xfId="0" applyNumberFormat="1" applyFont="1" applyBorder="1" applyAlignment="1">
      <alignment horizontal="center" vertical="center" wrapText="1" shrinkToFit="1"/>
    </xf>
    <xf numFmtId="3" fontId="11" fillId="0" borderId="45" xfId="0" applyNumberFormat="1" applyFont="1" applyBorder="1" applyAlignment="1">
      <alignment horizontal="right" vertical="center" wrapText="1" shrinkToFit="1"/>
    </xf>
    <xf numFmtId="3" fontId="32" fillId="0" borderId="45" xfId="0" applyNumberFormat="1" applyFont="1" applyBorder="1" applyAlignment="1">
      <alignment horizontal="right" vertical="center" wrapText="1" shrinkToFit="1"/>
    </xf>
    <xf numFmtId="3" fontId="11" fillId="10" borderId="48" xfId="0" applyNumberFormat="1" applyFont="1" applyFill="1" applyBorder="1" applyAlignment="1">
      <alignment vertical="center" wrapText="1" shrinkToFit="1"/>
    </xf>
    <xf numFmtId="3" fontId="32" fillId="10" borderId="48" xfId="0" applyNumberFormat="1" applyFont="1" applyFill="1" applyBorder="1" applyAlignment="1">
      <alignment vertical="center" wrapText="1" shrinkToFit="1"/>
    </xf>
    <xf numFmtId="3" fontId="32" fillId="10" borderId="48" xfId="0" applyNumberFormat="1" applyFont="1" applyFill="1" applyBorder="1"/>
    <xf numFmtId="3" fontId="10" fillId="10" borderId="7" xfId="0" applyNumberFormat="1" applyFont="1" applyFill="1" applyBorder="1" applyAlignment="1">
      <alignment horizontal="center" vertical="center" wrapText="1" shrinkToFit="1"/>
    </xf>
    <xf numFmtId="3" fontId="32" fillId="10" borderId="7" xfId="0" applyNumberFormat="1" applyFont="1" applyFill="1" applyBorder="1" applyAlignment="1">
      <alignment horizontal="center" vertical="center" wrapText="1" shrinkToFit="1"/>
    </xf>
    <xf numFmtId="1" fontId="32" fillId="10" borderId="7" xfId="0" applyNumberFormat="1" applyFont="1" applyFill="1" applyBorder="1" applyAlignment="1">
      <alignment horizontal="center" vertical="center" wrapText="1" shrinkToFit="1"/>
    </xf>
    <xf numFmtId="1" fontId="11" fillId="0" borderId="71" xfId="0" applyNumberFormat="1" applyFont="1" applyBorder="1" applyAlignment="1">
      <alignment horizontal="center" vertical="center" wrapText="1" shrinkToFit="1"/>
    </xf>
    <xf numFmtId="1" fontId="11" fillId="0" borderId="0" xfId="0" applyNumberFormat="1" applyFont="1" applyAlignment="1">
      <alignment horizontal="center" vertical="center" wrapText="1" shrinkToFit="1"/>
    </xf>
    <xf numFmtId="3" fontId="11" fillId="0" borderId="15" xfId="0" applyNumberFormat="1" applyFont="1" applyBorder="1" applyAlignment="1">
      <alignment horizontal="center" vertical="center" wrapText="1" shrinkToFit="1"/>
    </xf>
    <xf numFmtId="3" fontId="11" fillId="0" borderId="68" xfId="0" applyNumberFormat="1" applyFont="1" applyBorder="1" applyAlignment="1">
      <alignment horizontal="center" vertical="center" wrapText="1" shrinkToFit="1"/>
    </xf>
    <xf numFmtId="1" fontId="32" fillId="10" borderId="49" xfId="0" applyNumberFormat="1" applyFont="1" applyFill="1" applyBorder="1" applyAlignment="1">
      <alignment horizontal="center"/>
    </xf>
    <xf numFmtId="0" fontId="17" fillId="0" borderId="12" xfId="0" applyFont="1" applyBorder="1"/>
    <xf numFmtId="3" fontId="10" fillId="10" borderId="47" xfId="0" applyNumberFormat="1" applyFont="1" applyFill="1" applyBorder="1" applyAlignment="1">
      <alignment vertical="center" wrapText="1" shrinkToFit="1"/>
    </xf>
    <xf numFmtId="3" fontId="10" fillId="10" borderId="47" xfId="0" applyNumberFormat="1" applyFont="1" applyFill="1" applyBorder="1" applyAlignment="1">
      <alignment vertical="center"/>
    </xf>
    <xf numFmtId="3" fontId="10" fillId="10" borderId="29" xfId="0" applyNumberFormat="1" applyFont="1" applyFill="1" applyBorder="1" applyAlignment="1">
      <alignment horizontal="right" vertical="center" wrapText="1" shrinkToFit="1"/>
    </xf>
    <xf numFmtId="3" fontId="10" fillId="10" borderId="52" xfId="0" applyNumberFormat="1" applyFont="1" applyFill="1" applyBorder="1" applyAlignment="1">
      <alignment vertical="center" wrapText="1" shrinkToFit="1"/>
    </xf>
    <xf numFmtId="3" fontId="10" fillId="10" borderId="48" xfId="0" applyNumberFormat="1" applyFont="1" applyFill="1" applyBorder="1" applyAlignment="1">
      <alignment vertical="center"/>
    </xf>
    <xf numFmtId="3" fontId="10" fillId="10" borderId="35" xfId="0" applyNumberFormat="1" applyFont="1" applyFill="1" applyBorder="1" applyAlignment="1">
      <alignment horizontal="right" vertical="center" wrapText="1" shrinkToFit="1"/>
    </xf>
    <xf numFmtId="3" fontId="10" fillId="10" borderId="37" xfId="0" applyNumberFormat="1" applyFont="1" applyFill="1" applyBorder="1" applyAlignment="1">
      <alignment horizontal="right" vertical="center" wrapText="1" shrinkToFit="1"/>
    </xf>
    <xf numFmtId="3" fontId="10" fillId="10" borderId="52" xfId="0" applyNumberFormat="1" applyFont="1" applyFill="1" applyBorder="1" applyAlignment="1">
      <alignment vertical="center"/>
    </xf>
    <xf numFmtId="3" fontId="10" fillId="10" borderId="25" xfId="0" applyNumberFormat="1" applyFont="1" applyFill="1" applyBorder="1" applyAlignment="1">
      <alignment vertical="center" wrapText="1" shrinkToFit="1"/>
    </xf>
    <xf numFmtId="3" fontId="10" fillId="10" borderId="56" xfId="0" applyNumberFormat="1" applyFont="1" applyFill="1" applyBorder="1" applyAlignment="1">
      <alignment vertical="center" wrapText="1" shrinkToFit="1"/>
    </xf>
    <xf numFmtId="3" fontId="10" fillId="10" borderId="75" xfId="0" applyNumberFormat="1" applyFont="1" applyFill="1" applyBorder="1" applyAlignment="1">
      <alignment horizontal="center" vertical="center" wrapText="1" shrinkToFit="1"/>
    </xf>
    <xf numFmtId="3" fontId="10" fillId="10" borderId="26" xfId="0" applyNumberFormat="1" applyFont="1" applyFill="1" applyBorder="1" applyAlignment="1">
      <alignment horizontal="center" vertical="center" wrapText="1" shrinkToFit="1"/>
    </xf>
    <xf numFmtId="3" fontId="17" fillId="9" borderId="47" xfId="0" applyNumberFormat="1" applyFont="1" applyFill="1" applyBorder="1"/>
    <xf numFmtId="3" fontId="17" fillId="9" borderId="48" xfId="0" applyNumberFormat="1" applyFont="1" applyFill="1" applyBorder="1"/>
    <xf numFmtId="3" fontId="38" fillId="0" borderId="12" xfId="2" applyNumberFormat="1" applyFont="1" applyBorder="1" applyProtection="1"/>
    <xf numFmtId="3" fontId="26" fillId="0" borderId="0" xfId="0" applyNumberFormat="1" applyFont="1" applyAlignment="1">
      <alignment horizontal="left"/>
    </xf>
    <xf numFmtId="3" fontId="9" fillId="0" borderId="25" xfId="0" applyNumberFormat="1" applyFont="1" applyBorder="1" applyAlignment="1">
      <alignment horizontal="right" vertical="center" wrapText="1" shrinkToFit="1"/>
    </xf>
    <xf numFmtId="3" fontId="9" fillId="0" borderId="30" xfId="0" applyNumberFormat="1" applyFont="1" applyBorder="1" applyAlignment="1">
      <alignment horizontal="right" vertical="center" wrapText="1" shrinkToFit="1"/>
    </xf>
    <xf numFmtId="3" fontId="9" fillId="0" borderId="37" xfId="0" applyNumberFormat="1" applyFont="1" applyBorder="1" applyAlignment="1">
      <alignment horizontal="right" vertical="center" wrapText="1" shrinkToFit="1"/>
    </xf>
    <xf numFmtId="3" fontId="12" fillId="5" borderId="49" xfId="0" applyNumberFormat="1" applyFont="1" applyFill="1" applyBorder="1" applyAlignment="1">
      <alignment horizontal="right" vertical="center" wrapText="1" shrinkToFit="1"/>
    </xf>
    <xf numFmtId="3" fontId="17" fillId="9" borderId="2" xfId="0" applyNumberFormat="1" applyFont="1" applyFill="1" applyBorder="1" applyAlignment="1">
      <alignment horizontal="center"/>
    </xf>
    <xf numFmtId="165" fontId="40" fillId="0" borderId="65" xfId="1" applyNumberFormat="1" applyBorder="1">
      <protection locked="0"/>
    </xf>
    <xf numFmtId="165" fontId="2" fillId="0" borderId="7" xfId="0" applyNumberFormat="1" applyFont="1" applyBorder="1"/>
    <xf numFmtId="165" fontId="40" fillId="0" borderId="77" xfId="1" applyNumberFormat="1" applyBorder="1">
      <protection locked="0"/>
    </xf>
    <xf numFmtId="165" fontId="40" fillId="0" borderId="7" xfId="1" applyNumberFormat="1" applyBorder="1">
      <protection locked="0"/>
    </xf>
    <xf numFmtId="3" fontId="1" fillId="4" borderId="40" xfId="0" applyNumberFormat="1" applyFont="1" applyFill="1" applyBorder="1"/>
    <xf numFmtId="3" fontId="1" fillId="4" borderId="12" xfId="0" applyNumberFormat="1" applyFont="1" applyFill="1" applyBorder="1"/>
    <xf numFmtId="3" fontId="1" fillId="4" borderId="17" xfId="0" applyNumberFormat="1" applyFont="1" applyFill="1" applyBorder="1"/>
    <xf numFmtId="3" fontId="2" fillId="4" borderId="2" xfId="0" applyNumberFormat="1" applyFont="1" applyFill="1" applyBorder="1"/>
    <xf numFmtId="3" fontId="1" fillId="4" borderId="9" xfId="0" applyNumberFormat="1" applyFont="1" applyFill="1" applyBorder="1"/>
    <xf numFmtId="3" fontId="1" fillId="4" borderId="32" xfId="0" applyNumberFormat="1" applyFont="1" applyFill="1" applyBorder="1"/>
    <xf numFmtId="3" fontId="1" fillId="4" borderId="2" xfId="0" applyNumberFormat="1" applyFont="1" applyFill="1" applyBorder="1"/>
    <xf numFmtId="49" fontId="9" fillId="0" borderId="11" xfId="0" applyNumberFormat="1" applyFont="1" applyBorder="1" applyAlignment="1">
      <alignment vertical="center" wrapText="1" shrinkToFit="1"/>
    </xf>
    <xf numFmtId="49" fontId="9" fillId="0" borderId="16" xfId="0" applyNumberFormat="1" applyFont="1" applyBorder="1" applyAlignment="1">
      <alignment vertical="center" wrapText="1" shrinkToFit="1"/>
    </xf>
    <xf numFmtId="49" fontId="9" fillId="0" borderId="67" xfId="0" applyNumberFormat="1" applyFont="1" applyBorder="1" applyAlignment="1">
      <alignment vertical="center" wrapText="1" shrinkToFit="1"/>
    </xf>
    <xf numFmtId="3" fontId="9" fillId="0" borderId="61" xfId="0" applyNumberFormat="1" applyFont="1" applyBorder="1" applyAlignment="1">
      <alignment vertical="center" wrapText="1" shrinkToFit="1"/>
    </xf>
    <xf numFmtId="49" fontId="9" fillId="0" borderId="40" xfId="0" applyNumberFormat="1" applyFont="1" applyBorder="1" applyAlignment="1">
      <alignment vertical="center" wrapText="1" shrinkToFit="1"/>
    </xf>
    <xf numFmtId="49" fontId="9" fillId="0" borderId="9" xfId="0" applyNumberFormat="1" applyFont="1" applyBorder="1" applyAlignment="1">
      <alignment vertical="center" wrapText="1" shrinkToFit="1"/>
    </xf>
    <xf numFmtId="49" fontId="9" fillId="0" borderId="12" xfId="0" applyNumberFormat="1" applyFont="1" applyBorder="1" applyAlignment="1">
      <alignment vertical="center" wrapText="1" shrinkToFit="1"/>
    </xf>
    <xf numFmtId="49" fontId="9" fillId="0" borderId="43" xfId="0" applyNumberFormat="1" applyFont="1" applyBorder="1" applyAlignment="1">
      <alignment vertical="center" wrapText="1" shrinkToFit="1"/>
    </xf>
    <xf numFmtId="3" fontId="9" fillId="0" borderId="66" xfId="0" applyNumberFormat="1" applyFont="1" applyBorder="1" applyAlignment="1">
      <alignment horizontal="right" vertical="center" wrapText="1" shrinkToFit="1"/>
    </xf>
    <xf numFmtId="49" fontId="3" fillId="4" borderId="20" xfId="3" applyNumberFormat="1" applyFont="1" applyFill="1" applyBorder="1" applyAlignment="1" applyProtection="1">
      <alignment horizontal="center" vertical="center"/>
    </xf>
    <xf numFmtId="0" fontId="2" fillId="3" borderId="39" xfId="0" applyFont="1" applyFill="1" applyBorder="1"/>
    <xf numFmtId="0" fontId="2" fillId="3" borderId="6" xfId="0" applyFont="1" applyFill="1" applyBorder="1"/>
    <xf numFmtId="3" fontId="2" fillId="4" borderId="3" xfId="0" applyNumberFormat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12" fillId="5" borderId="47" xfId="0" applyNumberFormat="1" applyFont="1" applyFill="1" applyBorder="1" applyAlignment="1">
      <alignment horizontal="center" vertical="center" wrapText="1" shrinkToFit="1"/>
    </xf>
    <xf numFmtId="0" fontId="14" fillId="6" borderId="54" xfId="0" applyFont="1" applyFill="1" applyBorder="1" applyAlignment="1">
      <alignment horizontal="center" vertical="center"/>
    </xf>
    <xf numFmtId="49" fontId="10" fillId="5" borderId="47" xfId="0" applyNumberFormat="1" applyFont="1" applyFill="1" applyBorder="1" applyAlignment="1">
      <alignment horizontal="center" vertical="center" wrapText="1" shrinkToFit="1"/>
    </xf>
    <xf numFmtId="49" fontId="10" fillId="5" borderId="4" xfId="0" applyNumberFormat="1" applyFont="1" applyFill="1" applyBorder="1" applyAlignment="1">
      <alignment horizontal="center" vertical="center" wrapText="1" shrinkToFit="1"/>
    </xf>
    <xf numFmtId="49" fontId="10" fillId="5" borderId="49" xfId="0" applyNumberFormat="1" applyFont="1" applyFill="1" applyBorder="1" applyAlignment="1">
      <alignment horizontal="center" vertical="center" wrapText="1" shrinkToFit="1"/>
    </xf>
    <xf numFmtId="49" fontId="10" fillId="5" borderId="7" xfId="0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6" fillId="5" borderId="40" xfId="0" applyFont="1" applyFill="1" applyBorder="1" applyAlignment="1">
      <alignment horizontal="center"/>
    </xf>
    <xf numFmtId="0" fontId="8" fillId="6" borderId="36" xfId="0" applyFont="1" applyFill="1" applyBorder="1" applyAlignment="1">
      <alignment horizontal="center" vertical="center" wrapText="1" shrinkToFit="1"/>
    </xf>
    <xf numFmtId="0" fontId="8" fillId="6" borderId="37" xfId="0" applyFont="1" applyFill="1" applyBorder="1" applyAlignment="1">
      <alignment horizontal="center" vertical="center" wrapText="1" shrinkToFit="1"/>
    </xf>
    <xf numFmtId="49" fontId="8" fillId="6" borderId="41" xfId="0" applyNumberFormat="1" applyFont="1" applyFill="1" applyBorder="1" applyAlignment="1">
      <alignment horizontal="center" vertical="center" wrapText="1" shrinkToFit="1"/>
    </xf>
    <xf numFmtId="49" fontId="8" fillId="6" borderId="15" xfId="0" applyNumberFormat="1" applyFont="1" applyFill="1" applyBorder="1" applyAlignment="1">
      <alignment horizontal="center" vertical="center" wrapText="1" shrinkToFit="1"/>
    </xf>
    <xf numFmtId="49" fontId="8" fillId="6" borderId="13" xfId="0" applyNumberFormat="1" applyFont="1" applyFill="1" applyBorder="1" applyAlignment="1">
      <alignment horizontal="center" vertical="center" wrapText="1" shrinkToFi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8" fillId="6" borderId="47" xfId="0" applyFont="1" applyFill="1" applyBorder="1" applyAlignment="1">
      <alignment horizontal="center" vertical="center" wrapText="1" shrinkToFit="1"/>
    </xf>
    <xf numFmtId="0" fontId="18" fillId="8" borderId="4" xfId="0" applyFont="1" applyFill="1" applyBorder="1" applyAlignment="1" applyProtection="1">
      <alignment horizontal="center" vertical="center" wrapText="1"/>
      <protection locked="0"/>
    </xf>
    <xf numFmtId="0" fontId="18" fillId="8" borderId="3" xfId="0" applyFont="1" applyFill="1" applyBorder="1" applyAlignment="1" applyProtection="1">
      <alignment horizontal="center" vertical="center" wrapText="1"/>
      <protection locked="0"/>
    </xf>
    <xf numFmtId="0" fontId="18" fillId="8" borderId="7" xfId="0" applyFont="1" applyFill="1" applyBorder="1" applyAlignment="1" applyProtection="1">
      <alignment horizontal="center" vertical="center" wrapText="1"/>
      <protection locked="0"/>
    </xf>
    <xf numFmtId="0" fontId="8" fillId="6" borderId="48" xfId="0" applyFont="1" applyFill="1" applyBorder="1" applyAlignment="1">
      <alignment horizontal="center" vertical="center" wrapText="1" shrinkToFit="1"/>
    </xf>
    <xf numFmtId="0" fontId="18" fillId="16" borderId="47" xfId="0" applyFont="1" applyFill="1" applyBorder="1" applyAlignment="1" applyProtection="1">
      <alignment horizontal="center" vertical="center" wrapText="1"/>
      <protection locked="0"/>
    </xf>
    <xf numFmtId="0" fontId="18" fillId="8" borderId="6" xfId="0" applyFont="1" applyFill="1" applyBorder="1" applyAlignment="1" applyProtection="1">
      <alignment horizontal="center" vertical="center" wrapText="1"/>
      <protection locked="0"/>
    </xf>
    <xf numFmtId="0" fontId="18" fillId="8" borderId="5" xfId="0" applyFont="1" applyFill="1" applyBorder="1" applyAlignment="1" applyProtection="1">
      <alignment horizontal="center" vertical="center" wrapText="1"/>
      <protection locked="0"/>
    </xf>
    <xf numFmtId="0" fontId="18" fillId="8" borderId="75" xfId="0" applyFont="1" applyFill="1" applyBorder="1" applyAlignment="1" applyProtection="1">
      <alignment horizontal="center" vertical="center" wrapText="1"/>
      <protection locked="0"/>
    </xf>
    <xf numFmtId="0" fontId="18" fillId="8" borderId="40" xfId="0" applyFont="1" applyFill="1" applyBorder="1" applyAlignment="1" applyProtection="1">
      <alignment horizontal="center" vertical="center" wrapText="1"/>
      <protection locked="0"/>
    </xf>
    <xf numFmtId="49" fontId="8" fillId="6" borderId="57" xfId="0" applyNumberFormat="1" applyFont="1" applyFill="1" applyBorder="1" applyAlignment="1">
      <alignment horizontal="center" vertical="center" wrapText="1" shrinkToFit="1"/>
    </xf>
    <xf numFmtId="49" fontId="8" fillId="6" borderId="71" xfId="0" applyNumberFormat="1" applyFont="1" applyFill="1" applyBorder="1" applyAlignment="1">
      <alignment horizontal="center" vertical="center" wrapText="1" shrinkToFit="1"/>
    </xf>
    <xf numFmtId="49" fontId="8" fillId="6" borderId="70" xfId="0" applyNumberFormat="1" applyFont="1" applyFill="1" applyBorder="1" applyAlignment="1">
      <alignment horizontal="center" vertical="center" wrapText="1" shrinkToFit="1"/>
    </xf>
    <xf numFmtId="0" fontId="17" fillId="9" borderId="47" xfId="0" applyFont="1" applyFill="1" applyBorder="1" applyAlignment="1">
      <alignment horizontal="left" vertical="center"/>
    </xf>
    <xf numFmtId="0" fontId="18" fillId="8" borderId="3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3" fontId="18" fillId="16" borderId="47" xfId="0" applyNumberFormat="1" applyFont="1" applyFill="1" applyBorder="1" applyAlignment="1" applyProtection="1">
      <alignment horizontal="center" vertical="center" wrapText="1"/>
      <protection locked="0"/>
    </xf>
    <xf numFmtId="0" fontId="18" fillId="16" borderId="51" xfId="0" applyFont="1" applyFill="1" applyBorder="1" applyAlignment="1" applyProtection="1">
      <alignment horizontal="center" vertical="center" wrapText="1"/>
      <protection locked="0"/>
    </xf>
    <xf numFmtId="0" fontId="19" fillId="20" borderId="2" xfId="0" applyFont="1" applyFill="1" applyBorder="1" applyAlignment="1">
      <alignment horizontal="center" vertical="center"/>
    </xf>
    <xf numFmtId="3" fontId="8" fillId="6" borderId="76" xfId="0" applyNumberFormat="1" applyFont="1" applyFill="1" applyBorder="1" applyAlignment="1">
      <alignment horizontal="center" vertical="center" wrapText="1" shrinkToFit="1"/>
    </xf>
    <xf numFmtId="3" fontId="8" fillId="6" borderId="22" xfId="0" applyNumberFormat="1" applyFont="1" applyFill="1" applyBorder="1" applyAlignment="1">
      <alignment horizontal="center" vertical="center" wrapText="1" shrinkToFit="1"/>
    </xf>
    <xf numFmtId="3" fontId="0" fillId="0" borderId="22" xfId="0" applyNumberFormat="1" applyBorder="1" applyAlignment="1">
      <alignment horizontal="center" vertical="center"/>
    </xf>
    <xf numFmtId="3" fontId="0" fillId="0" borderId="74" xfId="0" applyNumberFormat="1" applyBorder="1" applyAlignment="1">
      <alignment horizontal="center" vertical="center"/>
    </xf>
    <xf numFmtId="0" fontId="10" fillId="10" borderId="4" xfId="0" applyFont="1" applyFill="1" applyBorder="1" applyAlignment="1">
      <alignment horizontal="center"/>
    </xf>
    <xf numFmtId="0" fontId="10" fillId="10" borderId="7" xfId="0" applyFont="1" applyFill="1" applyBorder="1" applyAlignment="1">
      <alignment horizontal="center"/>
    </xf>
    <xf numFmtId="49" fontId="10" fillId="10" borderId="4" xfId="0" applyNumberFormat="1" applyFont="1" applyFill="1" applyBorder="1" applyAlignment="1">
      <alignment horizontal="center" vertical="center" wrapText="1" shrinkToFit="1"/>
    </xf>
    <xf numFmtId="49" fontId="10" fillId="10" borderId="7" xfId="0" applyNumberFormat="1" applyFont="1" applyFill="1" applyBorder="1" applyAlignment="1">
      <alignment horizontal="center" vertical="center" wrapText="1" shrinkToFit="1"/>
    </xf>
    <xf numFmtId="49" fontId="10" fillId="10" borderId="47" xfId="0" applyNumberFormat="1" applyFont="1" applyFill="1" applyBorder="1" applyAlignment="1">
      <alignment horizontal="center" vertical="center" wrapText="1" shrinkToFit="1"/>
    </xf>
    <xf numFmtId="49" fontId="10" fillId="10" borderId="2" xfId="0" applyNumberFormat="1" applyFont="1" applyFill="1" applyBorder="1" applyAlignment="1">
      <alignment horizontal="center" vertical="center" wrapText="1" shrinkToFit="1"/>
    </xf>
    <xf numFmtId="49" fontId="10" fillId="10" borderId="47" xfId="0" applyNumberFormat="1" applyFont="1" applyFill="1" applyBorder="1" applyAlignment="1">
      <alignment horizontal="left" vertical="center" wrapText="1" shrinkToFit="1"/>
    </xf>
    <xf numFmtId="0" fontId="14" fillId="9" borderId="2" xfId="0" applyFont="1" applyFill="1" applyBorder="1" applyAlignment="1">
      <alignment horizontal="left"/>
    </xf>
    <xf numFmtId="0" fontId="27" fillId="5" borderId="1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 vertical="center" wrapText="1" shrinkToFit="1"/>
    </xf>
    <xf numFmtId="0" fontId="8" fillId="6" borderId="71" xfId="0" applyFont="1" applyFill="1" applyBorder="1" applyAlignment="1">
      <alignment horizontal="center" vertical="center" wrapText="1" shrinkToFit="1"/>
    </xf>
    <xf numFmtId="0" fontId="8" fillId="6" borderId="70" xfId="0" applyFont="1" applyFill="1" applyBorder="1" applyAlignment="1">
      <alignment horizontal="center" vertical="center" wrapText="1" shrinkToFit="1"/>
    </xf>
    <xf numFmtId="0" fontId="21" fillId="6" borderId="52" xfId="0" applyFont="1" applyFill="1" applyBorder="1" applyAlignment="1">
      <alignment horizontal="center" vertical="center" wrapText="1" shrinkToFit="1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21" fillId="6" borderId="57" xfId="0" applyFont="1" applyFill="1" applyBorder="1" applyAlignment="1">
      <alignment horizontal="center" vertical="center" wrapText="1" shrinkToFit="1"/>
    </xf>
    <xf numFmtId="0" fontId="21" fillId="6" borderId="71" xfId="0" applyFont="1" applyFill="1" applyBorder="1" applyAlignment="1">
      <alignment horizontal="center" vertical="center" wrapText="1" shrinkToFit="1"/>
    </xf>
    <xf numFmtId="0" fontId="0" fillId="0" borderId="71" xfId="0" applyBorder="1" applyAlignment="1">
      <alignment horizontal="center" vertical="center"/>
    </xf>
    <xf numFmtId="0" fontId="21" fillId="6" borderId="51" xfId="0" applyFont="1" applyFill="1" applyBorder="1" applyAlignment="1">
      <alignment horizontal="center" vertical="center" wrapText="1" shrinkToFit="1"/>
    </xf>
    <xf numFmtId="0" fontId="21" fillId="6" borderId="70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21" fillId="6" borderId="47" xfId="0" applyFont="1" applyFill="1" applyBorder="1" applyAlignment="1">
      <alignment horizontal="center" vertical="center" wrapText="1" shrinkToFit="1"/>
    </xf>
    <xf numFmtId="0" fontId="21" fillId="6" borderId="48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18" fillId="8" borderId="47" xfId="0" applyFont="1" applyFill="1" applyBorder="1" applyAlignment="1" applyProtection="1">
      <alignment horizontal="center" vertical="center" wrapText="1"/>
      <protection locked="0"/>
    </xf>
    <xf numFmtId="0" fontId="18" fillId="8" borderId="48" xfId="0" applyFont="1" applyFill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center" vertical="center" wrapText="1"/>
      <protection locked="0"/>
    </xf>
    <xf numFmtId="0" fontId="18" fillId="8" borderId="8" xfId="0" applyFont="1" applyFill="1" applyBorder="1" applyAlignment="1" applyProtection="1">
      <alignment horizontal="center" vertical="center" wrapText="1"/>
      <protection locked="0"/>
    </xf>
    <xf numFmtId="0" fontId="21" fillId="6" borderId="58" xfId="0" applyFont="1" applyFill="1" applyBorder="1" applyAlignment="1">
      <alignment horizontal="center" vertical="center" wrapText="1" shrinkToFit="1"/>
    </xf>
    <xf numFmtId="0" fontId="21" fillId="6" borderId="59" xfId="0" applyFont="1" applyFill="1" applyBorder="1" applyAlignment="1">
      <alignment horizontal="center" vertical="center" wrapText="1" shrinkToFit="1"/>
    </xf>
    <xf numFmtId="169" fontId="22" fillId="0" borderId="0" xfId="0" applyNumberFormat="1" applyFont="1" applyAlignment="1" applyProtection="1">
      <alignment horizontal="center" vertical="center" wrapText="1"/>
      <protection locked="0"/>
    </xf>
    <xf numFmtId="169" fontId="22" fillId="2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49" fontId="22" fillId="22" borderId="16" xfId="0" applyNumberFormat="1" applyFont="1" applyFill="1" applyBorder="1" applyAlignment="1" applyProtection="1">
      <alignment horizontal="center" vertical="center" wrapText="1"/>
      <protection locked="0"/>
    </xf>
    <xf numFmtId="49" fontId="22" fillId="22" borderId="63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/>
    </xf>
    <xf numFmtId="0" fontId="21" fillId="6" borderId="54" xfId="0" applyFont="1" applyFill="1" applyBorder="1" applyAlignment="1">
      <alignment horizontal="center" vertical="center" wrapText="1" shrinkToFit="1"/>
    </xf>
    <xf numFmtId="0" fontId="21" fillId="6" borderId="56" xfId="0" applyFont="1" applyFill="1" applyBorder="1" applyAlignment="1">
      <alignment horizontal="center" vertical="center" wrapText="1" shrinkToFit="1"/>
    </xf>
    <xf numFmtId="0" fontId="18" fillId="11" borderId="47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18" fillId="13" borderId="2" xfId="0" applyFont="1" applyFill="1" applyBorder="1" applyAlignment="1" applyProtection="1">
      <alignment horizontal="center" vertical="center" wrapText="1"/>
      <protection locked="0"/>
    </xf>
    <xf numFmtId="0" fontId="18" fillId="4" borderId="39" xfId="0" applyFont="1" applyFill="1" applyBorder="1" applyAlignment="1" applyProtection="1">
      <alignment horizontal="center" vertical="center" wrapText="1"/>
      <protection locked="0"/>
    </xf>
    <xf numFmtId="0" fontId="21" fillId="12" borderId="51" xfId="0" applyFont="1" applyFill="1" applyBorder="1" applyAlignment="1">
      <alignment horizontal="center" vertical="center" wrapText="1" shrinkToFit="1"/>
    </xf>
    <xf numFmtId="0" fontId="21" fillId="12" borderId="47" xfId="0" applyFont="1" applyFill="1" applyBorder="1" applyAlignment="1">
      <alignment horizontal="center" vertical="center" wrapText="1" shrinkToFit="1"/>
    </xf>
    <xf numFmtId="0" fontId="21" fillId="12" borderId="52" xfId="0" applyFont="1" applyFill="1" applyBorder="1" applyAlignment="1">
      <alignment horizontal="center" vertical="center" wrapText="1" shrinkToFit="1"/>
    </xf>
    <xf numFmtId="0" fontId="21" fillId="12" borderId="48" xfId="0" applyFont="1" applyFill="1" applyBorder="1" applyAlignment="1">
      <alignment horizontal="center" vertical="center" wrapText="1" shrinkToFit="1"/>
    </xf>
    <xf numFmtId="0" fontId="21" fillId="12" borderId="26" xfId="0" applyFont="1" applyFill="1" applyBorder="1" applyAlignment="1">
      <alignment horizontal="center" vertical="center" wrapText="1"/>
    </xf>
    <xf numFmtId="0" fontId="21" fillId="12" borderId="37" xfId="0" applyFont="1" applyFill="1" applyBorder="1" applyAlignment="1">
      <alignment horizontal="center" vertical="center" wrapText="1" shrinkToFit="1"/>
    </xf>
    <xf numFmtId="3" fontId="22" fillId="17" borderId="42" xfId="0" applyNumberFormat="1" applyFont="1" applyFill="1" applyBorder="1" applyAlignment="1" applyProtection="1">
      <alignment horizontal="center" vertical="center" wrapText="1"/>
      <protection locked="0"/>
    </xf>
    <xf numFmtId="3" fontId="22" fillId="17" borderId="68" xfId="0" applyNumberFormat="1" applyFont="1" applyFill="1" applyBorder="1" applyAlignment="1" applyProtection="1">
      <alignment horizontal="center" vertical="center" wrapText="1"/>
      <protection locked="0"/>
    </xf>
    <xf numFmtId="3" fontId="22" fillId="17" borderId="65" xfId="0" applyNumberFormat="1" applyFont="1" applyFill="1" applyBorder="1" applyAlignment="1" applyProtection="1">
      <alignment horizontal="center" vertical="center" wrapText="1"/>
      <protection locked="0"/>
    </xf>
    <xf numFmtId="0" fontId="18" fillId="13" borderId="4" xfId="0" applyFont="1" applyFill="1" applyBorder="1" applyAlignment="1" applyProtection="1">
      <alignment horizontal="center" vertical="center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/>
    <xf numFmtId="0" fontId="21" fillId="12" borderId="30" xfId="0" applyFont="1" applyFill="1" applyBorder="1" applyAlignment="1">
      <alignment horizontal="center" vertical="center" wrapText="1" shrinkToFit="1"/>
    </xf>
    <xf numFmtId="49" fontId="22" fillId="0" borderId="51" xfId="0" applyNumberFormat="1" applyFont="1" applyBorder="1" applyAlignment="1" applyProtection="1">
      <alignment horizontal="left" vertical="center" wrapText="1"/>
      <protection locked="0"/>
    </xf>
    <xf numFmtId="49" fontId="22" fillId="0" borderId="58" xfId="0" applyNumberFormat="1" applyFont="1" applyBorder="1" applyAlignment="1" applyProtection="1">
      <alignment horizontal="left" vertical="center" wrapText="1"/>
      <protection locked="0"/>
    </xf>
    <xf numFmtId="0" fontId="18" fillId="4" borderId="2" xfId="0" applyFont="1" applyFill="1" applyBorder="1" applyAlignment="1" applyProtection="1">
      <alignment horizontal="center" vertical="center" wrapText="1"/>
      <protection locked="0"/>
    </xf>
    <xf numFmtId="0" fontId="17" fillId="12" borderId="4" xfId="0" applyFont="1" applyFill="1" applyBorder="1" applyAlignment="1">
      <alignment horizontal="left"/>
    </xf>
    <xf numFmtId="3" fontId="24" fillId="0" borderId="25" xfId="0" applyNumberFormat="1" applyFont="1" applyBorder="1" applyAlignment="1" applyProtection="1">
      <alignment vertical="center" wrapText="1"/>
      <protection locked="0"/>
    </xf>
    <xf numFmtId="3" fontId="24" fillId="0" borderId="45" xfId="0" applyNumberFormat="1" applyFont="1" applyBorder="1" applyAlignment="1" applyProtection="1">
      <alignment vertical="center" wrapText="1"/>
      <protection locked="0"/>
    </xf>
    <xf numFmtId="0" fontId="22" fillId="0" borderId="70" xfId="0" applyFont="1" applyBorder="1" applyAlignment="1" applyProtection="1">
      <alignment vertical="center" wrapText="1"/>
      <protection locked="0"/>
    </xf>
    <xf numFmtId="0" fontId="22" fillId="4" borderId="63" xfId="0" applyFont="1" applyFill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49" fontId="22" fillId="0" borderId="44" xfId="0" applyNumberFormat="1" applyFont="1" applyBorder="1" applyAlignment="1" applyProtection="1">
      <alignment horizontal="left" vertical="center" wrapText="1"/>
      <protection locked="0"/>
    </xf>
    <xf numFmtId="0" fontId="21" fillId="12" borderId="24" xfId="0" applyFont="1" applyFill="1" applyBorder="1" applyAlignment="1">
      <alignment horizontal="center" vertical="center" wrapText="1" shrinkToFit="1"/>
    </xf>
    <xf numFmtId="0" fontId="21" fillId="12" borderId="25" xfId="0" applyFont="1" applyFill="1" applyBorder="1" applyAlignment="1">
      <alignment horizontal="center" vertical="center" wrapText="1" shrinkToFit="1"/>
    </xf>
    <xf numFmtId="49" fontId="25" fillId="0" borderId="45" xfId="0" applyNumberFormat="1" applyFont="1" applyBorder="1" applyAlignment="1">
      <alignment horizontal="center" vertical="center" wrapText="1" shrinkToFit="1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0" fillId="0" borderId="30" xfId="0" applyNumberFormat="1" applyFont="1" applyBorder="1" applyAlignment="1" applyProtection="1">
      <alignment vertical="center" wrapText="1"/>
      <protection locked="0"/>
    </xf>
    <xf numFmtId="0" fontId="20" fillId="17" borderId="35" xfId="0" applyFont="1" applyFill="1" applyBorder="1" applyAlignment="1" applyProtection="1">
      <alignment horizontal="left" vertical="center" wrapText="1"/>
      <protection locked="0"/>
    </xf>
    <xf numFmtId="0" fontId="20" fillId="17" borderId="59" xfId="0" applyFont="1" applyFill="1" applyBorder="1" applyAlignment="1" applyProtection="1">
      <alignment horizontal="left" vertical="center" wrapText="1"/>
      <protection locked="0"/>
    </xf>
    <xf numFmtId="0" fontId="20" fillId="17" borderId="45" xfId="0" applyFont="1" applyFill="1" applyBorder="1" applyAlignment="1" applyProtection="1">
      <alignment horizontal="left"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0" fontId="20" fillId="0" borderId="35" xfId="0" applyFont="1" applyBorder="1" applyAlignment="1">
      <alignment vertical="center" wrapText="1"/>
    </xf>
    <xf numFmtId="0" fontId="20" fillId="0" borderId="59" xfId="0" applyFont="1" applyBorder="1" applyAlignment="1">
      <alignment vertical="center" wrapText="1"/>
    </xf>
    <xf numFmtId="3" fontId="22" fillId="0" borderId="35" xfId="0" applyNumberFormat="1" applyFont="1" applyBorder="1" applyAlignment="1" applyProtection="1">
      <alignment vertical="center" wrapText="1"/>
      <protection locked="0"/>
    </xf>
    <xf numFmtId="3" fontId="22" fillId="0" borderId="41" xfId="0" applyNumberFormat="1" applyFont="1" applyBorder="1" applyAlignment="1" applyProtection="1">
      <alignment vertical="center" wrapText="1"/>
      <protection locked="0"/>
    </xf>
    <xf numFmtId="3" fontId="22" fillId="0" borderId="15" xfId="0" applyNumberFormat="1" applyFont="1" applyBorder="1" applyAlignment="1" applyProtection="1">
      <alignment vertical="center" wrapText="1"/>
      <protection locked="0"/>
    </xf>
    <xf numFmtId="3" fontId="22" fillId="0" borderId="63" xfId="0" applyNumberFormat="1" applyFont="1" applyBorder="1" applyAlignment="1" applyProtection="1">
      <alignment vertical="center" wrapText="1"/>
      <protection locked="0"/>
    </xf>
    <xf numFmtId="0" fontId="21" fillId="12" borderId="35" xfId="0" applyFont="1" applyFill="1" applyBorder="1" applyAlignment="1">
      <alignment horizontal="center" vertical="center" wrapText="1" shrinkToFit="1"/>
    </xf>
    <xf numFmtId="0" fontId="22" fillId="0" borderId="66" xfId="0" applyFont="1" applyBorder="1" applyAlignment="1" applyProtection="1">
      <alignment vertical="center" wrapText="1"/>
      <protection locked="0"/>
    </xf>
    <xf numFmtId="0" fontId="22" fillId="0" borderId="54" xfId="0" applyFont="1" applyBorder="1" applyAlignment="1" applyProtection="1">
      <alignment vertical="center" wrapText="1"/>
      <protection locked="0"/>
    </xf>
    <xf numFmtId="0" fontId="22" fillId="0" borderId="58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49" fontId="22" fillId="17" borderId="15" xfId="0" applyNumberFormat="1" applyFont="1" applyFill="1" applyBorder="1" applyAlignment="1" applyProtection="1">
      <alignment horizontal="left" vertical="center" wrapText="1"/>
      <protection locked="0"/>
    </xf>
    <xf numFmtId="49" fontId="22" fillId="17" borderId="63" xfId="0" applyNumberFormat="1" applyFont="1" applyFill="1" applyBorder="1" applyAlignment="1" applyProtection="1">
      <alignment horizontal="left" vertical="center" wrapText="1"/>
      <protection locked="0"/>
    </xf>
    <xf numFmtId="0" fontId="18" fillId="13" borderId="6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0" fontId="22" fillId="0" borderId="29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58" xfId="0" applyFont="1" applyBorder="1" applyAlignment="1" applyProtection="1">
      <alignment horizontal="left" vertical="center" wrapText="1"/>
      <protection locked="0"/>
    </xf>
    <xf numFmtId="0" fontId="22" fillId="0" borderId="44" xfId="0" applyFont="1" applyBorder="1" applyAlignment="1" applyProtection="1">
      <alignment horizontal="left" vertical="center" wrapText="1"/>
      <protection locked="0"/>
    </xf>
    <xf numFmtId="0" fontId="21" fillId="12" borderId="58" xfId="0" applyFont="1" applyFill="1" applyBorder="1" applyAlignment="1">
      <alignment horizontal="center" vertical="center" wrapText="1" shrinkToFit="1"/>
    </xf>
    <xf numFmtId="0" fontId="21" fillId="12" borderId="59" xfId="0" applyFont="1" applyFill="1" applyBorder="1" applyAlignment="1">
      <alignment horizontal="center" vertical="center" wrapText="1" shrinkToFit="1"/>
    </xf>
    <xf numFmtId="0" fontId="22" fillId="0" borderId="45" xfId="0" applyFont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 wrapText="1"/>
    </xf>
    <xf numFmtId="3" fontId="22" fillId="0" borderId="21" xfId="0" applyNumberFormat="1" applyFont="1" applyBorder="1" applyAlignment="1" applyProtection="1">
      <alignment horizontal="right" vertical="center" wrapText="1"/>
      <protection locked="0"/>
    </xf>
    <xf numFmtId="3" fontId="22" fillId="0" borderId="28" xfId="0" applyNumberFormat="1" applyFont="1" applyBorder="1" applyAlignment="1" applyProtection="1">
      <alignment horizontal="right"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20" fillId="0" borderId="58" xfId="0" applyNumberFormat="1" applyFont="1" applyBorder="1" applyAlignment="1">
      <alignment horizontal="left" vertical="center" wrapText="1"/>
    </xf>
    <xf numFmtId="49" fontId="20" fillId="0" borderId="54" xfId="0" applyNumberFormat="1" applyFont="1" applyBorder="1" applyAlignment="1">
      <alignment horizontal="left" vertical="center" wrapText="1"/>
    </xf>
    <xf numFmtId="0" fontId="18" fillId="4" borderId="47" xfId="0" applyFont="1" applyFill="1" applyBorder="1" applyAlignment="1" applyProtection="1">
      <alignment horizontal="center" vertical="center" wrapText="1"/>
      <protection locked="0"/>
    </xf>
    <xf numFmtId="0" fontId="18" fillId="4" borderId="48" xfId="0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 applyProtection="1">
      <alignment horizontal="center" vertical="center" wrapText="1"/>
      <protection locked="0"/>
    </xf>
    <xf numFmtId="0" fontId="21" fillId="12" borderId="54" xfId="0" applyFont="1" applyFill="1" applyBorder="1" applyAlignment="1">
      <alignment horizontal="center" vertical="center" wrapText="1" shrinkToFit="1"/>
    </xf>
    <xf numFmtId="0" fontId="21" fillId="12" borderId="56" xfId="0" applyFont="1" applyFill="1" applyBorder="1" applyAlignment="1">
      <alignment horizontal="center" vertical="center" wrapText="1" shrinkToFit="1"/>
    </xf>
    <xf numFmtId="0" fontId="46" fillId="2" borderId="0" xfId="0" applyFont="1" applyFill="1" applyAlignment="1">
      <alignment horizontal="right"/>
    </xf>
    <xf numFmtId="0" fontId="35" fillId="7" borderId="0" xfId="0" applyFont="1" applyFill="1" applyAlignment="1">
      <alignment horizontal="center"/>
    </xf>
    <xf numFmtId="0" fontId="22" fillId="0" borderId="24" xfId="0" applyFont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3" fontId="50" fillId="0" borderId="0" xfId="0" applyNumberFormat="1" applyFont="1" applyAlignment="1" applyProtection="1">
      <alignment vertical="center" wrapText="1"/>
      <protection locked="0"/>
    </xf>
    <xf numFmtId="0" fontId="51" fillId="0" borderId="0" xfId="0" applyFont="1"/>
    <xf numFmtId="0" fontId="22" fillId="17" borderId="30" xfId="0" applyFont="1" applyFill="1" applyBorder="1" applyAlignment="1" applyProtection="1">
      <alignment vertical="center" wrapText="1"/>
      <protection locked="0"/>
    </xf>
    <xf numFmtId="49" fontId="22" fillId="0" borderId="23" xfId="0" applyNumberFormat="1" applyFont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Border="1" applyAlignment="1" applyProtection="1">
      <alignment horizontal="center" vertical="center" wrapText="1"/>
      <protection locked="0"/>
    </xf>
    <xf numFmtId="49" fontId="22" fillId="0" borderId="16" xfId="0" applyNumberFormat="1" applyFont="1" applyBorder="1" applyAlignment="1" applyProtection="1">
      <alignment horizontal="left" vertical="center" wrapText="1"/>
      <protection locked="0"/>
    </xf>
    <xf numFmtId="0" fontId="18" fillId="4" borderId="47" xfId="0" applyFont="1" applyFill="1" applyBorder="1" applyAlignment="1" applyProtection="1">
      <alignment vertical="center" wrapText="1"/>
      <protection locked="0"/>
    </xf>
    <xf numFmtId="0" fontId="22" fillId="0" borderId="57" xfId="0" applyFont="1" applyBorder="1" applyAlignment="1" applyProtection="1">
      <alignment horizontal="left" vertical="center" wrapText="1"/>
      <protection locked="0"/>
    </xf>
    <xf numFmtId="0" fontId="22" fillId="0" borderId="71" xfId="0" applyFont="1" applyBorder="1" applyAlignment="1" applyProtection="1">
      <alignment horizontal="left" vertical="center" wrapText="1"/>
      <protection locked="0"/>
    </xf>
    <xf numFmtId="0" fontId="22" fillId="17" borderId="41" xfId="0" applyFont="1" applyFill="1" applyBorder="1" applyAlignment="1" applyProtection="1">
      <alignment vertical="center" wrapText="1"/>
      <protection locked="0"/>
    </xf>
    <xf numFmtId="0" fontId="0" fillId="17" borderId="15" xfId="0" applyFill="1" applyBorder="1" applyAlignment="1">
      <alignment vertical="center" wrapText="1"/>
    </xf>
    <xf numFmtId="0" fontId="0" fillId="17" borderId="63" xfId="0" applyFill="1" applyBorder="1" applyAlignment="1">
      <alignment vertical="center" wrapText="1"/>
    </xf>
    <xf numFmtId="0" fontId="18" fillId="4" borderId="16" xfId="0" applyFont="1" applyFill="1" applyBorder="1" applyAlignment="1" applyProtection="1">
      <alignment horizontal="left" vertical="center" wrapText="1"/>
      <protection locked="0"/>
    </xf>
    <xf numFmtId="0" fontId="18" fillId="4" borderId="19" xfId="0" applyFont="1" applyFill="1" applyBorder="1" applyAlignment="1" applyProtection="1">
      <alignment horizontal="left" vertical="center" wrapText="1"/>
      <protection locked="0"/>
    </xf>
    <xf numFmtId="0" fontId="17" fillId="13" borderId="2" xfId="0" applyFont="1" applyFill="1" applyBorder="1" applyAlignment="1">
      <alignment horizontal="left"/>
    </xf>
    <xf numFmtId="0" fontId="17" fillId="13" borderId="4" xfId="0" applyFont="1" applyFill="1" applyBorder="1" applyAlignment="1">
      <alignment horizontal="left"/>
    </xf>
    <xf numFmtId="0" fontId="18" fillId="4" borderId="72" xfId="0" applyFont="1" applyFill="1" applyBorder="1" applyAlignment="1" applyProtection="1">
      <alignment horizontal="left" vertical="center" wrapText="1"/>
      <protection locked="0"/>
    </xf>
    <xf numFmtId="0" fontId="17" fillId="15" borderId="0" xfId="0" applyFont="1" applyFill="1" applyAlignment="1">
      <alignment horizontal="center"/>
    </xf>
    <xf numFmtId="0" fontId="17" fillId="13" borderId="23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7" fillId="13" borderId="24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17" fillId="13" borderId="72" xfId="0" applyFont="1" applyFill="1" applyBorder="1" applyAlignment="1">
      <alignment horizontal="center"/>
    </xf>
    <xf numFmtId="0" fontId="17" fillId="13" borderId="7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3" fillId="16" borderId="47" xfId="0" applyFont="1" applyFill="1" applyBorder="1" applyAlignment="1">
      <alignment horizontal="center"/>
    </xf>
    <xf numFmtId="0" fontId="0" fillId="0" borderId="48" xfId="0" applyBorder="1"/>
    <xf numFmtId="0" fontId="0" fillId="0" borderId="8" xfId="0" applyBorder="1"/>
    <xf numFmtId="0" fontId="53" fillId="16" borderId="47" xfId="0" applyFont="1" applyFill="1" applyBorder="1"/>
    <xf numFmtId="0" fontId="0" fillId="16" borderId="8" xfId="0" applyFill="1" applyBorder="1"/>
  </cellXfs>
  <cellStyles count="4">
    <cellStyle name="Ezres" xfId="1" builtinId="3"/>
    <cellStyle name="Normál" xfId="0" builtinId="0"/>
    <cellStyle name="Pénznem" xfId="2" builtinId="4"/>
    <cellStyle name="Százalék" xfId="3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C00000"/>
      <rgbColor rgb="FF008000"/>
      <rgbColor rgb="FF000080"/>
      <rgbColor rgb="FF808000"/>
      <rgbColor rgb="FF800080"/>
      <rgbColor rgb="FF008080"/>
      <rgbColor rgb="FFF8CBAD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AC090"/>
      <rgbColor rgb="FFCC99FF"/>
      <rgbColor rgb="FFFFCC99"/>
      <rgbColor rgb="FF3366FF"/>
      <rgbColor rgb="FF33CCCC"/>
      <rgbColor rgb="FF99CC00"/>
      <rgbColor rgb="FFFFF2CC"/>
      <rgbColor rgb="FFFF9900"/>
      <rgbColor rgb="FFFF6600"/>
      <rgbColor rgb="FF666699"/>
      <rgbColor rgb="FF969696"/>
      <rgbColor rgb="FF203864"/>
      <rgbColor rgb="FF339966"/>
      <rgbColor rgb="FF003300"/>
      <rgbColor rgb="FF385724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98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  <pageSetUpPr fitToPage="1"/>
  </sheetPr>
  <dimension ref="A1:V44"/>
  <sheetViews>
    <sheetView topLeftCell="A4" zoomScale="91" zoomScaleNormal="91" workbookViewId="0">
      <selection activeCell="M24" sqref="M24"/>
    </sheetView>
  </sheetViews>
  <sheetFormatPr defaultRowHeight="12.75" x14ac:dyDescent="0.2"/>
  <cols>
    <col min="1" max="1" width="7.140625" customWidth="1"/>
    <col min="2" max="2" width="33.42578125" customWidth="1"/>
    <col min="3" max="5" width="13.140625" customWidth="1"/>
    <col min="6" max="6" width="12.7109375" bestFit="1" customWidth="1"/>
    <col min="7" max="7" width="7.7109375" customWidth="1"/>
    <col min="8" max="8" width="13.7109375" customWidth="1"/>
    <col min="9" max="9" width="9.85546875" customWidth="1"/>
    <col min="10" max="10" width="40.140625" customWidth="1"/>
    <col min="11" max="14" width="12.42578125" customWidth="1"/>
    <col min="15" max="15" width="7.140625" customWidth="1"/>
    <col min="16" max="16" width="13.28515625" customWidth="1"/>
    <col min="17" max="1029" width="8.42578125" customWidth="1"/>
  </cols>
  <sheetData>
    <row r="1" spans="1:17" ht="22.5" x14ac:dyDescent="0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  <c r="Q1" s="1"/>
    </row>
    <row r="2" spans="1:17" ht="22.5" x14ac:dyDescent="0.6">
      <c r="A2" s="1"/>
      <c r="B2" s="840" t="s">
        <v>747</v>
      </c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  <c r="Q2" s="1"/>
    </row>
    <row r="3" spans="1:17" ht="22.5" x14ac:dyDescent="0.6">
      <c r="A3" s="1"/>
      <c r="B3" s="840" t="s">
        <v>386</v>
      </c>
      <c r="C3" s="840"/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840"/>
      <c r="Q3" s="1"/>
    </row>
    <row r="4" spans="1:17" ht="22.5" x14ac:dyDescent="0.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2.5" x14ac:dyDescent="0.6">
      <c r="A5" s="841" t="s">
        <v>0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841"/>
      <c r="N5" s="841"/>
      <c r="O5" s="841"/>
      <c r="P5" s="841"/>
      <c r="Q5" s="1"/>
    </row>
    <row r="6" spans="1:17" ht="23.25" thickBot="1" x14ac:dyDescent="0.6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 t="s">
        <v>1</v>
      </c>
      <c r="Q6" s="1"/>
    </row>
    <row r="7" spans="1:17" ht="23.25" thickBot="1" x14ac:dyDescent="0.65">
      <c r="A7" s="842" t="s">
        <v>2</v>
      </c>
      <c r="B7" s="842"/>
      <c r="C7" s="842"/>
      <c r="D7" s="842"/>
      <c r="E7" s="842"/>
      <c r="F7" s="842"/>
      <c r="G7" s="842"/>
      <c r="H7" s="842"/>
      <c r="I7" s="843" t="s">
        <v>3</v>
      </c>
      <c r="J7" s="843"/>
      <c r="K7" s="843"/>
      <c r="L7" s="843"/>
      <c r="M7" s="843"/>
      <c r="N7" s="843"/>
      <c r="O7" s="843"/>
      <c r="P7" s="843"/>
      <c r="Q7" s="1"/>
    </row>
    <row r="8" spans="1:17" ht="39" customHeight="1" thickBot="1" x14ac:dyDescent="0.65">
      <c r="A8" s="5" t="s">
        <v>4</v>
      </c>
      <c r="B8" s="6" t="s">
        <v>5</v>
      </c>
      <c r="C8" s="7" t="s">
        <v>666</v>
      </c>
      <c r="D8" s="7" t="s">
        <v>732</v>
      </c>
      <c r="E8" s="7" t="s">
        <v>746</v>
      </c>
      <c r="F8" s="7" t="s">
        <v>504</v>
      </c>
      <c r="G8" s="7" t="s">
        <v>380</v>
      </c>
      <c r="H8" s="8" t="s">
        <v>745</v>
      </c>
      <c r="I8" s="9" t="s">
        <v>4</v>
      </c>
      <c r="J8" s="10" t="s">
        <v>5</v>
      </c>
      <c r="K8" s="11" t="s">
        <v>666</v>
      </c>
      <c r="L8" s="12" t="s">
        <v>732</v>
      </c>
      <c r="M8" s="12" t="s">
        <v>746</v>
      </c>
      <c r="N8" s="12" t="s">
        <v>504</v>
      </c>
      <c r="O8" s="12" t="s">
        <v>380</v>
      </c>
      <c r="P8" s="13" t="s">
        <v>745</v>
      </c>
      <c r="Q8" s="1"/>
    </row>
    <row r="9" spans="1:17" ht="22.5" x14ac:dyDescent="0.6">
      <c r="A9" s="14" t="s">
        <v>6</v>
      </c>
      <c r="B9" s="15" t="s">
        <v>7</v>
      </c>
      <c r="C9" s="502">
        <f>'Bevételek(önkormányzat 2023'!C14</f>
        <v>244014793</v>
      </c>
      <c r="D9" s="504">
        <v>260055483</v>
      </c>
      <c r="E9" s="662">
        <f>SUM('Bevételek(önkormányzat 2023'!E14)</f>
        <v>201021324</v>
      </c>
      <c r="F9" s="511">
        <f>H9-D9</f>
        <v>2756319</v>
      </c>
      <c r="G9" s="498">
        <f>H9/D9</f>
        <v>1.0105989651446803</v>
      </c>
      <c r="H9" s="32">
        <f>'Bevételek(önkormányzat 2023'!H14</f>
        <v>262811802</v>
      </c>
      <c r="I9" s="16" t="s">
        <v>8</v>
      </c>
      <c r="J9" s="820" t="s">
        <v>9</v>
      </c>
      <c r="K9" s="504">
        <f>'Kiadások(önkormányzat 2023)'!C19</f>
        <v>46954350</v>
      </c>
      <c r="L9" s="507">
        <v>52975100</v>
      </c>
      <c r="M9" s="507">
        <f>SUM('Kiadások(önkormányzat 2023)'!E19)</f>
        <v>44462775</v>
      </c>
      <c r="N9" s="507">
        <f>SUM(P9-L9)</f>
        <v>4975975</v>
      </c>
      <c r="O9" s="257">
        <f>P9/L9</f>
        <v>1.093930450343652</v>
      </c>
      <c r="P9" s="18">
        <f>'Kiadások(önkormányzat 2023)'!H19</f>
        <v>57951075</v>
      </c>
      <c r="Q9" s="1"/>
    </row>
    <row r="10" spans="1:17" ht="22.5" x14ac:dyDescent="0.6">
      <c r="A10" s="19" t="s">
        <v>10</v>
      </c>
      <c r="B10" s="20" t="s">
        <v>11</v>
      </c>
      <c r="C10" s="225">
        <f>'Bevételek(önkormányzat 2023'!C16</f>
        <v>7936200</v>
      </c>
      <c r="D10" s="229">
        <v>8455385</v>
      </c>
      <c r="E10" s="229">
        <f>SUM('Bevételek(önkormányzat 2023'!E16)</f>
        <v>12097529</v>
      </c>
      <c r="F10" s="421">
        <f>H10-D10</f>
        <v>4835114</v>
      </c>
      <c r="G10" s="497">
        <f>H10/D10</f>
        <v>1.5718384201310762</v>
      </c>
      <c r="H10" s="17">
        <f>'Bevételek(önkormányzat 2023'!H16</f>
        <v>13290499</v>
      </c>
      <c r="I10" s="21" t="s">
        <v>12</v>
      </c>
      <c r="J10" s="821" t="s">
        <v>13</v>
      </c>
      <c r="K10" s="226">
        <f>'Kiadások(önkormányzat 2023)'!C21</f>
        <v>6565000</v>
      </c>
      <c r="L10" s="418">
        <v>7100600</v>
      </c>
      <c r="M10" s="418">
        <f>SUM('Kiadások(önkormányzat 2023)'!E21)</f>
        <v>5457481</v>
      </c>
      <c r="N10" s="418">
        <f>SUM(P10-L10)</f>
        <v>610000</v>
      </c>
      <c r="O10" s="257">
        <f>P10/L10</f>
        <v>1.0859082331070613</v>
      </c>
      <c r="P10" s="18">
        <f>'Kiadások(önkormányzat 2023)'!H21</f>
        <v>7710600</v>
      </c>
      <c r="Q10" s="1"/>
    </row>
    <row r="11" spans="1:17" ht="22.5" x14ac:dyDescent="0.6">
      <c r="A11" s="19" t="s">
        <v>14</v>
      </c>
      <c r="B11" s="20" t="s">
        <v>15</v>
      </c>
      <c r="C11" s="225">
        <f>'Bevételek(önkormányzat 2023'!C19</f>
        <v>0</v>
      </c>
      <c r="D11" s="226">
        <v>0</v>
      </c>
      <c r="E11" s="226">
        <f>SUM('Bevételek(önkormányzat 2023'!E19)</f>
        <v>5500022</v>
      </c>
      <c r="F11" s="421">
        <f t="shared" ref="F11:F13" si="0">H11-D11</f>
        <v>5500022</v>
      </c>
      <c r="G11" s="497">
        <v>0</v>
      </c>
      <c r="H11" s="17">
        <f>'Bevételek(önkormányzat 2023'!H19</f>
        <v>5500022</v>
      </c>
      <c r="I11" s="21" t="s">
        <v>16</v>
      </c>
      <c r="J11" s="821" t="s">
        <v>17</v>
      </c>
      <c r="K11" s="226">
        <f>'Kiadások(önkormányzat 2023)'!C50</f>
        <v>89471240</v>
      </c>
      <c r="L11" s="418">
        <v>92345659</v>
      </c>
      <c r="M11" s="418">
        <f>SUM('Kiadások(önkormányzat 2023)'!E50)</f>
        <v>68160159</v>
      </c>
      <c r="N11" s="418">
        <f t="shared" ref="N11:N14" si="1">SUM(P11-L11)</f>
        <v>15788525</v>
      </c>
      <c r="O11" s="257">
        <f t="shared" ref="O11:O14" si="2">P11/L11</f>
        <v>1.1709720323724151</v>
      </c>
      <c r="P11" s="18">
        <f>'Kiadások(önkormányzat 2023)'!H50</f>
        <v>108134184</v>
      </c>
      <c r="Q11" s="1"/>
    </row>
    <row r="12" spans="1:17" ht="22.5" x14ac:dyDescent="0.6">
      <c r="A12" s="19" t="s">
        <v>18</v>
      </c>
      <c r="B12" s="20" t="s">
        <v>19</v>
      </c>
      <c r="C12" s="225">
        <f>'Bevételek(önkormányzat 2023'!C24</f>
        <v>62500000</v>
      </c>
      <c r="D12" s="226">
        <v>62500000</v>
      </c>
      <c r="E12" s="226">
        <f>SUM('Bevételek(önkormányzat 2023'!E24)</f>
        <v>79573606</v>
      </c>
      <c r="F12" s="421">
        <f t="shared" si="0"/>
        <v>27120000</v>
      </c>
      <c r="G12" s="497">
        <f t="shared" ref="G12:G13" si="3">H12/D12</f>
        <v>1.4339200000000001</v>
      </c>
      <c r="H12" s="17">
        <f>'Bevételek(önkormányzat 2023'!H24</f>
        <v>89620000</v>
      </c>
      <c r="I12" s="21" t="s">
        <v>20</v>
      </c>
      <c r="J12" s="821" t="s">
        <v>21</v>
      </c>
      <c r="K12" s="226">
        <f>'Kiadások(önkormányzat 2023)'!C58</f>
        <v>11800000</v>
      </c>
      <c r="L12" s="418">
        <v>11800000</v>
      </c>
      <c r="M12" s="418">
        <f>SUM('Kiadások(önkormányzat 2023)'!E58)</f>
        <v>7819610</v>
      </c>
      <c r="N12" s="418">
        <f t="shared" si="1"/>
        <v>0</v>
      </c>
      <c r="O12" s="257">
        <f t="shared" si="2"/>
        <v>1</v>
      </c>
      <c r="P12" s="18">
        <f>'Kiadások(önkormányzat 2023)'!H58</f>
        <v>11800000</v>
      </c>
      <c r="Q12" s="1"/>
    </row>
    <row r="13" spans="1:17" ht="22.5" x14ac:dyDescent="0.6">
      <c r="A13" s="19" t="s">
        <v>22</v>
      </c>
      <c r="B13" s="20" t="s">
        <v>23</v>
      </c>
      <c r="C13" s="225">
        <f>'Bevételek(önkormányzat 2023'!C34</f>
        <v>18225660</v>
      </c>
      <c r="D13" s="509">
        <v>22194289</v>
      </c>
      <c r="E13" s="509">
        <f>SUM('Bevételek(önkormányzat 2023'!E34)</f>
        <v>21790336</v>
      </c>
      <c r="F13" s="421">
        <f t="shared" si="0"/>
        <v>2255808</v>
      </c>
      <c r="G13" s="497">
        <f t="shared" si="3"/>
        <v>1.1016391198654754</v>
      </c>
      <c r="H13" s="17">
        <f>'Bevételek(önkormányzat 2023'!H34</f>
        <v>24450097</v>
      </c>
      <c r="I13" s="21" t="s">
        <v>24</v>
      </c>
      <c r="J13" s="821" t="s">
        <v>25</v>
      </c>
      <c r="K13" s="226">
        <f>'Kiadások(önkormányzat 2023)'!C64</f>
        <v>19939700</v>
      </c>
      <c r="L13" s="418">
        <v>69369110</v>
      </c>
      <c r="M13" s="418">
        <f>SUM('Kiadások(önkormányzat 2023)'!E64)</f>
        <v>61226532</v>
      </c>
      <c r="N13" s="418">
        <f t="shared" si="1"/>
        <v>206036</v>
      </c>
      <c r="O13" s="257">
        <f t="shared" si="2"/>
        <v>1.0029701404558888</v>
      </c>
      <c r="P13" s="18">
        <f>'Kiadások(önkormányzat 2023)'!H64</f>
        <v>69575146</v>
      </c>
      <c r="Q13" s="1"/>
    </row>
    <row r="14" spans="1:17" ht="23.25" thickBot="1" x14ac:dyDescent="0.65">
      <c r="A14" s="22"/>
      <c r="B14" s="23"/>
      <c r="C14" s="505"/>
      <c r="D14" s="663"/>
      <c r="E14" s="663"/>
      <c r="F14" s="229"/>
      <c r="G14" s="583"/>
      <c r="H14" s="25"/>
      <c r="I14" s="24" t="s">
        <v>28</v>
      </c>
      <c r="J14" s="822" t="s">
        <v>29</v>
      </c>
      <c r="K14" s="816">
        <f>'Kiadások(önkormányzat 2023)'!C77</f>
        <v>221309261</v>
      </c>
      <c r="L14" s="508">
        <v>228287193</v>
      </c>
      <c r="M14" s="508">
        <f>SUM('Kiadások(önkormányzat 2023)'!E77)</f>
        <v>175044300</v>
      </c>
      <c r="N14" s="418">
        <f t="shared" si="1"/>
        <v>1840347</v>
      </c>
      <c r="O14" s="257">
        <f t="shared" si="2"/>
        <v>1.0080615429004816</v>
      </c>
      <c r="P14" s="26">
        <f>'Kiadások(önkormányzat 2023)'!H77</f>
        <v>230127540</v>
      </c>
      <c r="Q14" s="1"/>
    </row>
    <row r="15" spans="1:17" ht="23.25" thickBot="1" x14ac:dyDescent="0.65">
      <c r="A15" s="27"/>
      <c r="B15" s="584" t="s">
        <v>375</v>
      </c>
      <c r="C15" s="350">
        <f>SUM(C9:C14)</f>
        <v>332676653</v>
      </c>
      <c r="D15" s="350">
        <f t="shared" ref="D15:E15" si="4">SUM(D9:D14)</f>
        <v>353205157</v>
      </c>
      <c r="E15" s="350">
        <f t="shared" si="4"/>
        <v>319982817</v>
      </c>
      <c r="F15" s="350">
        <f>SUM(F9:F14)</f>
        <v>42467263</v>
      </c>
      <c r="G15" s="581">
        <f>H15/D15</f>
        <v>1.1202339834466233</v>
      </c>
      <c r="H15" s="585">
        <f>SUM(H9:H14)</f>
        <v>395672420</v>
      </c>
      <c r="I15" s="28"/>
      <c r="J15" s="823" t="s">
        <v>30</v>
      </c>
      <c r="K15" s="817">
        <f>SUM(K9:K14)</f>
        <v>396039551</v>
      </c>
      <c r="L15" s="350">
        <f t="shared" ref="L15:M15" si="5">SUM(L9:L14)</f>
        <v>461877662</v>
      </c>
      <c r="M15" s="350">
        <f t="shared" si="5"/>
        <v>362170857</v>
      </c>
      <c r="N15" s="350">
        <f>SUM(N9:N14)</f>
        <v>23420883</v>
      </c>
      <c r="O15" s="581">
        <f>P15/L15</f>
        <v>1.0507079794649172</v>
      </c>
      <c r="P15" s="585">
        <f>SUM(P9:P14)</f>
        <v>485298545</v>
      </c>
      <c r="Q15" s="1"/>
    </row>
    <row r="16" spans="1:17" ht="22.5" x14ac:dyDescent="0.6">
      <c r="A16" s="30" t="s">
        <v>26</v>
      </c>
      <c r="B16" s="265" t="s">
        <v>27</v>
      </c>
      <c r="C16" s="502">
        <f>'Bevételek(önkormányzat 2023'!C41</f>
        <v>3913940</v>
      </c>
      <c r="D16" s="504">
        <v>4045940</v>
      </c>
      <c r="E16" s="504">
        <f>SUM('Bevételek(önkormányzat 2023'!E41)</f>
        <v>4006030</v>
      </c>
      <c r="F16" s="507">
        <f>H16-D16</f>
        <v>246036</v>
      </c>
      <c r="G16" s="499">
        <f>H16/D16</f>
        <v>1.060810590369605</v>
      </c>
      <c r="H16" s="264">
        <f>'Bevételek(önkormányzat 2023'!H41</f>
        <v>4291976</v>
      </c>
      <c r="I16" s="31" t="s">
        <v>33</v>
      </c>
      <c r="J16" s="824" t="s">
        <v>34</v>
      </c>
      <c r="K16" s="504">
        <f>'Kiadások(önkormányzat 2023)'!C73</f>
        <v>11214000</v>
      </c>
      <c r="L16" s="504">
        <v>190442886</v>
      </c>
      <c r="M16" s="504">
        <f>SUM('Kiadások(önkormányzat 2023)'!E73)</f>
        <v>47390532</v>
      </c>
      <c r="N16" s="507">
        <f>SUM(P16-L16)</f>
        <v>-3030189</v>
      </c>
      <c r="O16" s="258">
        <f>P16/L16</f>
        <v>0.98408872568755335</v>
      </c>
      <c r="P16" s="33">
        <f>'Kiadások(önkormányzat 2023)'!H73</f>
        <v>187412697</v>
      </c>
      <c r="Q16" s="1"/>
    </row>
    <row r="17" spans="1:22" ht="22.5" x14ac:dyDescent="0.6">
      <c r="A17" s="244" t="s">
        <v>31</v>
      </c>
      <c r="B17" s="266" t="s">
        <v>32</v>
      </c>
      <c r="C17" s="225">
        <f>'Bevételek(önkormányzat 2023'!C42</f>
        <v>330961145</v>
      </c>
      <c r="D17" s="509">
        <v>330961145</v>
      </c>
      <c r="E17" s="509">
        <f>SUM('Bevételek(önkormányzat 2023'!E42)</f>
        <v>330961145</v>
      </c>
      <c r="F17" s="509">
        <f>H17-C17</f>
        <v>0</v>
      </c>
      <c r="G17" s="500">
        <f>H17/D17</f>
        <v>1</v>
      </c>
      <c r="H17" s="17">
        <f>'Bevételek(önkormányzat 2023'!H42</f>
        <v>330961145</v>
      </c>
      <c r="I17" s="836" t="s">
        <v>35</v>
      </c>
      <c r="J17" s="821" t="s">
        <v>36</v>
      </c>
      <c r="K17" s="226">
        <f>'Kiadások(önkormányzat 2023)'!C79</f>
        <v>232626378</v>
      </c>
      <c r="L17" s="509">
        <v>0</v>
      </c>
      <c r="M17" s="509"/>
      <c r="N17" s="512">
        <f t="shared" ref="N17:N20" si="6">SUM(P17-L17)</f>
        <v>0</v>
      </c>
      <c r="O17" s="258">
        <f t="shared" ref="O17" si="7">P17/K17</f>
        <v>0</v>
      </c>
      <c r="P17" s="18">
        <f>'Kiadások(önkormányzat 2023)'!H79</f>
        <v>0</v>
      </c>
      <c r="Q17" s="1"/>
      <c r="R17" s="34"/>
      <c r="S17" s="34"/>
    </row>
    <row r="18" spans="1:22" ht="22.5" x14ac:dyDescent="0.6">
      <c r="A18" s="244" t="s">
        <v>377</v>
      </c>
      <c r="B18" s="266" t="s">
        <v>379</v>
      </c>
      <c r="C18" s="225">
        <f>'Bevételek(önkormányzat 2023'!C43</f>
        <v>0</v>
      </c>
      <c r="D18" s="418">
        <v>0</v>
      </c>
      <c r="E18" s="418"/>
      <c r="F18" s="269">
        <f>'Bevételek(önkormányzat 2023'!F43</f>
        <v>0</v>
      </c>
      <c r="G18" s="500"/>
      <c r="H18" s="17">
        <f>'Bevételek(önkormányzat 2023'!H43</f>
        <v>0</v>
      </c>
      <c r="I18" s="836"/>
      <c r="J18" s="821" t="s">
        <v>37</v>
      </c>
      <c r="K18" s="226">
        <f>'Kiadások(önkormányzat 2023)'!C78</f>
        <v>17920923</v>
      </c>
      <c r="L18" s="509">
        <v>26140808</v>
      </c>
      <c r="M18" s="509">
        <f>SUM('Kiadások(önkormányzat 2023)'!E78)</f>
        <v>0</v>
      </c>
      <c r="N18" s="418">
        <f t="shared" si="6"/>
        <v>20822605</v>
      </c>
      <c r="O18" s="258">
        <f>P18/L18</f>
        <v>1.7965555234558932</v>
      </c>
      <c r="P18" s="18">
        <f>'Kiadások(önkormányzat 2023)'!H78</f>
        <v>46963413</v>
      </c>
      <c r="Q18" s="1"/>
    </row>
    <row r="19" spans="1:22" ht="22.5" x14ac:dyDescent="0.6">
      <c r="A19" s="244" t="s">
        <v>384</v>
      </c>
      <c r="B19" s="266" t="s">
        <v>385</v>
      </c>
      <c r="C19" s="225">
        <f>'Bevételek(önkormányzat 2023'!C39</f>
        <v>0</v>
      </c>
      <c r="D19" s="418">
        <v>0</v>
      </c>
      <c r="E19" s="418"/>
      <c r="F19" s="269">
        <f>'Bevételek(önkormányzat 2023'!F39</f>
        <v>0</v>
      </c>
      <c r="G19" s="501"/>
      <c r="H19" s="17">
        <f>'Bevételek(önkormányzat 2023'!H39</f>
        <v>0</v>
      </c>
      <c r="I19" s="836"/>
      <c r="J19" s="825"/>
      <c r="K19" s="818"/>
      <c r="L19" s="418"/>
      <c r="M19" s="226"/>
      <c r="N19" s="418">
        <f t="shared" si="6"/>
        <v>0</v>
      </c>
      <c r="O19" s="258"/>
      <c r="P19" s="35"/>
      <c r="Q19" s="1"/>
    </row>
    <row r="20" spans="1:22" ht="23.25" thickBot="1" x14ac:dyDescent="0.65">
      <c r="A20" s="36"/>
      <c r="B20" s="267"/>
      <c r="C20" s="505"/>
      <c r="D20" s="664"/>
      <c r="E20" s="664"/>
      <c r="F20" s="270"/>
      <c r="G20" s="501"/>
      <c r="H20" s="25"/>
      <c r="I20" s="37" t="s">
        <v>39</v>
      </c>
      <c r="J20" s="822" t="s">
        <v>758</v>
      </c>
      <c r="K20" s="816">
        <f>'Kiadások(önkormányzat 2023)'!C74</f>
        <v>0</v>
      </c>
      <c r="L20" s="510">
        <v>0</v>
      </c>
      <c r="M20" s="510">
        <f>SUM('Kiadások(önkormányzat 2023)'!E75)</f>
        <v>500000</v>
      </c>
      <c r="N20" s="509">
        <f t="shared" si="6"/>
        <v>1500000</v>
      </c>
      <c r="O20" s="258">
        <v>0</v>
      </c>
      <c r="P20" s="25">
        <f>'Kiadások(önkormányzat 2023)'!H75</f>
        <v>1500000</v>
      </c>
      <c r="Q20" s="1"/>
    </row>
    <row r="21" spans="1:22" ht="23.25" thickBot="1" x14ac:dyDescent="0.65">
      <c r="A21" s="38"/>
      <c r="B21" s="268"/>
      <c r="C21" s="506"/>
      <c r="D21" s="665"/>
      <c r="E21" s="665"/>
      <c r="F21" s="271"/>
      <c r="G21" s="503"/>
      <c r="H21" s="496"/>
      <c r="I21" s="39" t="s">
        <v>40</v>
      </c>
      <c r="J21" s="826" t="s">
        <v>41</v>
      </c>
      <c r="K21" s="819">
        <f>'Kiadások(önkormányzat 2023)'!C76</f>
        <v>9750886</v>
      </c>
      <c r="L21" s="29">
        <v>9750886</v>
      </c>
      <c r="M21" s="29">
        <f>SUM('Kiadások(önkormányzat 2023)'!E76)</f>
        <v>9750886</v>
      </c>
      <c r="N21" s="29">
        <f t="shared" ref="N21" si="8">SUM(P21-K21)</f>
        <v>0</v>
      </c>
      <c r="O21" s="495">
        <f>P21/L21</f>
        <v>1</v>
      </c>
      <c r="P21" s="29">
        <f>'Kiadások(önkormányzat 2023)'!H76</f>
        <v>9750886</v>
      </c>
      <c r="Q21" s="1"/>
    </row>
    <row r="22" spans="1:22" ht="23.25" thickBot="1" x14ac:dyDescent="0.65">
      <c r="A22" s="837" t="s">
        <v>42</v>
      </c>
      <c r="B22" s="838"/>
      <c r="C22" s="349">
        <f>SUM(C15:C21)</f>
        <v>667551738</v>
      </c>
      <c r="D22" s="349">
        <f>SUM(D15:D21)</f>
        <v>688212242</v>
      </c>
      <c r="E22" s="349">
        <f t="shared" ref="E22" si="9">SUM(E15:E21)</f>
        <v>654949992</v>
      </c>
      <c r="F22" s="349">
        <f>SUM(F15:F18)</f>
        <v>42713299</v>
      </c>
      <c r="G22" s="580">
        <f>H22/D22</f>
        <v>1.062064137185168</v>
      </c>
      <c r="H22" s="582">
        <f>SUM(H15:H21)</f>
        <v>730925541</v>
      </c>
      <c r="I22" s="839" t="s">
        <v>42</v>
      </c>
      <c r="J22" s="839"/>
      <c r="K22" s="349">
        <f>SUM(K15:K21)</f>
        <v>667551738</v>
      </c>
      <c r="L22" s="349">
        <f t="shared" ref="L22:M22" si="10">SUM(L15:L21)</f>
        <v>688212242</v>
      </c>
      <c r="M22" s="349">
        <f t="shared" si="10"/>
        <v>419812275</v>
      </c>
      <c r="N22" s="349">
        <f>SUM(N15:N21)</f>
        <v>42713299</v>
      </c>
      <c r="O22" s="581">
        <f>P22/L22</f>
        <v>1.062064137185168</v>
      </c>
      <c r="P22" s="350">
        <f>SUM(P15:P21)</f>
        <v>730925541</v>
      </c>
      <c r="Q22" s="1"/>
      <c r="U22" s="40"/>
      <c r="V22" s="40"/>
    </row>
    <row r="23" spans="1:22" ht="22.5" x14ac:dyDescent="0.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U23" s="40"/>
      <c r="V23" s="40"/>
    </row>
    <row r="24" spans="1:22" ht="22.5" x14ac:dyDescent="0.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U24" s="40"/>
      <c r="V24" s="40"/>
    </row>
    <row r="25" spans="1:22" ht="22.5" x14ac:dyDescent="0.6">
      <c r="A25" s="1"/>
      <c r="B25" s="241"/>
      <c r="C25" s="241"/>
      <c r="D25" s="241"/>
      <c r="E25" s="241"/>
      <c r="F25" s="24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U25" s="40"/>
      <c r="V25" s="40"/>
    </row>
    <row r="26" spans="1:22" ht="22.5" x14ac:dyDescent="0.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22" ht="22.5" x14ac:dyDescent="0.6">
      <c r="A27" s="1"/>
      <c r="B27" s="1"/>
      <c r="C27" s="1"/>
      <c r="D27" s="1"/>
      <c r="E27" s="1"/>
      <c r="F27" s="1"/>
      <c r="G27" s="1"/>
      <c r="H27" s="241">
        <f>H22-P22</f>
        <v>0</v>
      </c>
      <c r="I27" s="1"/>
      <c r="J27" s="1"/>
      <c r="K27" s="1"/>
      <c r="L27" s="1"/>
      <c r="M27" s="1"/>
      <c r="N27" s="1"/>
      <c r="O27" s="1"/>
      <c r="P27" s="1"/>
      <c r="Q27" s="1"/>
    </row>
    <row r="33" spans="1:17" ht="22.5" x14ac:dyDescent="0.6">
      <c r="A33" s="41"/>
      <c r="B33" s="1"/>
      <c r="C33" s="1"/>
      <c r="D33" s="1"/>
      <c r="E33" s="1"/>
      <c r="F33" s="40"/>
      <c r="G33" s="40"/>
      <c r="H33" s="40"/>
    </row>
    <row r="34" spans="1:17" ht="22.5" x14ac:dyDescent="0.6">
      <c r="A34" s="41"/>
      <c r="B34" s="1"/>
      <c r="C34" s="1"/>
      <c r="D34" s="1"/>
      <c r="E34" s="1"/>
      <c r="F34" s="40"/>
      <c r="G34" s="40"/>
      <c r="H34" s="40"/>
    </row>
    <row r="35" spans="1:17" ht="22.5" x14ac:dyDescent="0.6">
      <c r="A35" s="41"/>
      <c r="B35" s="1"/>
      <c r="C35" s="1"/>
      <c r="D35" s="1"/>
      <c r="E35" s="1"/>
      <c r="F35" s="40"/>
      <c r="G35" s="40"/>
      <c r="H35" s="40"/>
    </row>
    <row r="36" spans="1:17" ht="22.5" x14ac:dyDescent="0.6">
      <c r="A36" s="41"/>
      <c r="B36" s="1"/>
      <c r="C36" s="1"/>
      <c r="D36" s="1"/>
      <c r="E36" s="1"/>
      <c r="F36" s="40"/>
      <c r="G36" s="40"/>
      <c r="H36" s="40"/>
    </row>
    <row r="37" spans="1:17" ht="22.5" x14ac:dyDescent="0.6">
      <c r="A37" s="41"/>
      <c r="B37" s="1"/>
      <c r="C37" s="1"/>
      <c r="D37" s="1"/>
      <c r="E37" s="1"/>
      <c r="F37" s="40"/>
      <c r="G37" s="40"/>
      <c r="H37" s="40"/>
    </row>
    <row r="38" spans="1:17" ht="22.5" x14ac:dyDescent="0.6">
      <c r="A38" s="41"/>
      <c r="B38" s="1"/>
      <c r="C38" s="1"/>
      <c r="D38" s="1"/>
      <c r="E38" s="1"/>
      <c r="F38" s="40"/>
      <c r="G38" s="40"/>
      <c r="H38" s="40"/>
    </row>
    <row r="39" spans="1:17" ht="22.5" x14ac:dyDescent="0.6">
      <c r="A39" s="41"/>
      <c r="B39" s="1"/>
      <c r="C39" s="1"/>
      <c r="D39" s="1"/>
      <c r="E39" s="1"/>
      <c r="F39" s="40"/>
      <c r="G39" s="40"/>
      <c r="H39" s="40"/>
      <c r="J39" s="41"/>
      <c r="K39" s="41"/>
      <c r="L39" s="41"/>
      <c r="M39" s="41"/>
      <c r="N39" s="1"/>
      <c r="O39" s="1"/>
      <c r="P39" s="40"/>
      <c r="Q39" s="40"/>
    </row>
    <row r="40" spans="1:17" ht="22.5" x14ac:dyDescent="0.6">
      <c r="A40" s="41"/>
      <c r="B40" s="1"/>
      <c r="C40" s="1"/>
      <c r="D40" s="1"/>
      <c r="E40" s="1"/>
      <c r="F40" s="40"/>
      <c r="G40" s="40"/>
      <c r="H40" s="40"/>
      <c r="J40" s="41"/>
      <c r="K40" s="41"/>
      <c r="L40" s="41"/>
      <c r="M40" s="41"/>
      <c r="N40" s="1"/>
      <c r="O40" s="1"/>
      <c r="P40" s="40"/>
      <c r="Q40" s="40"/>
    </row>
    <row r="41" spans="1:17" ht="22.5" x14ac:dyDescent="0.6">
      <c r="A41" s="41"/>
      <c r="B41" s="1"/>
      <c r="C41" s="1"/>
      <c r="D41" s="1"/>
      <c r="E41" s="1"/>
      <c r="F41" s="40"/>
      <c r="G41" s="40"/>
      <c r="H41" s="40"/>
      <c r="J41" s="41"/>
      <c r="K41" s="41"/>
      <c r="L41" s="41"/>
      <c r="M41" s="41"/>
      <c r="N41" s="1"/>
      <c r="O41" s="1"/>
      <c r="P41" s="40"/>
      <c r="Q41" s="40"/>
    </row>
    <row r="42" spans="1:17" ht="22.5" x14ac:dyDescent="0.6">
      <c r="A42" s="41"/>
      <c r="B42" s="1"/>
      <c r="C42" s="1"/>
      <c r="D42" s="1"/>
      <c r="E42" s="1"/>
      <c r="F42" s="40"/>
      <c r="G42" s="40"/>
      <c r="H42" s="40"/>
      <c r="J42" s="41"/>
      <c r="K42" s="41"/>
      <c r="L42" s="41"/>
      <c r="M42" s="41"/>
      <c r="N42" s="1"/>
      <c r="O42" s="1"/>
      <c r="P42" s="40"/>
      <c r="Q42" s="40"/>
    </row>
    <row r="43" spans="1:17" ht="22.5" x14ac:dyDescent="0.6">
      <c r="A43" s="41"/>
      <c r="B43" s="1"/>
      <c r="C43" s="1"/>
      <c r="D43" s="1"/>
      <c r="E43" s="1"/>
      <c r="F43" s="40"/>
      <c r="G43" s="40"/>
      <c r="H43" s="40"/>
      <c r="J43" s="41"/>
      <c r="K43" s="41"/>
      <c r="L43" s="41"/>
      <c r="M43" s="41"/>
      <c r="N43" s="1"/>
      <c r="O43" s="1"/>
      <c r="P43" s="40"/>
      <c r="Q43" s="40"/>
    </row>
    <row r="44" spans="1:17" ht="22.5" x14ac:dyDescent="0.6">
      <c r="A44" s="41"/>
      <c r="B44" s="1"/>
      <c r="C44" s="1"/>
      <c r="D44" s="1"/>
      <c r="E44" s="1"/>
      <c r="F44" s="40"/>
      <c r="G44" s="40"/>
      <c r="H44" s="40"/>
      <c r="J44" s="41"/>
      <c r="K44" s="41"/>
      <c r="L44" s="41"/>
      <c r="M44" s="41"/>
      <c r="N44" s="1"/>
      <c r="O44" s="1"/>
      <c r="P44" s="40"/>
      <c r="Q44" s="40"/>
    </row>
  </sheetData>
  <sheetProtection algorithmName="SHA-512" hashValue="NVv/th4RUeL/jZ7enLiOxq6mHiFaUPp/e+N21ur1nyRiHi50OxY+xyouyfFbvCmUYQBBVNZB6RABSjild64sew==" saltValue="P8IATydS3jAM+KCKjZl06Q==" spinCount="100000" sheet="1" objects="1" scenarios="1"/>
  <mergeCells count="8">
    <mergeCell ref="I17:I19"/>
    <mergeCell ref="A22:B22"/>
    <mergeCell ref="I22:J22"/>
    <mergeCell ref="B2:P2"/>
    <mergeCell ref="B3:P3"/>
    <mergeCell ref="A5:P5"/>
    <mergeCell ref="A7:H7"/>
    <mergeCell ref="I7:P7"/>
  </mergeCells>
  <pageMargins left="0.74803149606299213" right="0.74803149606299213" top="0.98425196850393704" bottom="0.98425196850393704" header="0.51181102362204722" footer="0.51181102362204722"/>
  <pageSetup paperSize="9" scale="56" firstPageNumber="0" orientation="landscape" verticalDpi="300" r:id="rId1"/>
  <headerFooter>
    <oddHeader>&amp;R2022.01.hó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00"/>
    <pageSetUpPr fitToPage="1"/>
  </sheetPr>
  <dimension ref="A1:K48"/>
  <sheetViews>
    <sheetView showGridLines="0" topLeftCell="A23" zoomScale="90" zoomScaleNormal="90" workbookViewId="0">
      <selection activeCell="P26" sqref="P26"/>
    </sheetView>
  </sheetViews>
  <sheetFormatPr defaultRowHeight="12.75" x14ac:dyDescent="0.2"/>
  <cols>
    <col min="1" max="1" width="11.85546875" customWidth="1"/>
    <col min="2" max="2" width="51.5703125" customWidth="1"/>
    <col min="3" max="5" width="19.7109375" customWidth="1"/>
    <col min="6" max="6" width="14.7109375" customWidth="1"/>
    <col min="7" max="7" width="12.7109375" customWidth="1"/>
    <col min="8" max="8" width="18.28515625" customWidth="1"/>
    <col min="9" max="9" width="20.140625" customWidth="1"/>
    <col min="10" max="10" width="8.42578125" customWidth="1"/>
    <col min="11" max="11" width="9.7109375" customWidth="1"/>
    <col min="12" max="1026" width="8.42578125" customWidth="1"/>
  </cols>
  <sheetData>
    <row r="1" spans="1:8" x14ac:dyDescent="0.2">
      <c r="H1" s="42" t="s">
        <v>43</v>
      </c>
    </row>
    <row r="2" spans="1:8" ht="15.75" x14ac:dyDescent="0.25">
      <c r="A2" s="850" t="s">
        <v>747</v>
      </c>
      <c r="B2" s="850"/>
      <c r="C2" s="850"/>
      <c r="D2" s="850"/>
      <c r="E2" s="850"/>
      <c r="F2" s="850"/>
      <c r="G2" s="850"/>
      <c r="H2" s="850"/>
    </row>
    <row r="3" spans="1:8" ht="15.75" x14ac:dyDescent="0.25">
      <c r="A3" s="850" t="s">
        <v>386</v>
      </c>
      <c r="B3" s="850"/>
      <c r="C3" s="850"/>
      <c r="D3" s="850"/>
      <c r="E3" s="850"/>
      <c r="F3" s="850"/>
      <c r="G3" s="850"/>
      <c r="H3" s="850"/>
    </row>
    <row r="4" spans="1:8" ht="13.5" thickBot="1" x14ac:dyDescent="0.25">
      <c r="H4" s="44" t="s">
        <v>44</v>
      </c>
    </row>
    <row r="5" spans="1:8" ht="15.75" x14ac:dyDescent="0.25">
      <c r="A5" s="851" t="s">
        <v>2</v>
      </c>
      <c r="B5" s="851"/>
      <c r="C5" s="851"/>
      <c r="D5" s="851"/>
      <c r="E5" s="851"/>
      <c r="F5" s="851"/>
      <c r="G5" s="851"/>
      <c r="H5" s="851"/>
    </row>
    <row r="6" spans="1:8" ht="15.75" customHeight="1" thickBot="1" x14ac:dyDescent="0.25">
      <c r="A6" s="852" t="s">
        <v>45</v>
      </c>
      <c r="B6" s="853" t="s">
        <v>46</v>
      </c>
      <c r="C6" s="854">
        <v>2023</v>
      </c>
      <c r="D6" s="855"/>
      <c r="E6" s="855"/>
      <c r="F6" s="855"/>
      <c r="G6" s="855"/>
      <c r="H6" s="856"/>
    </row>
    <row r="7" spans="1:8" ht="25.5" customHeight="1" thickBot="1" x14ac:dyDescent="0.25">
      <c r="A7" s="852"/>
      <c r="B7" s="853"/>
      <c r="C7" s="46" t="s">
        <v>47</v>
      </c>
      <c r="D7" s="46" t="s">
        <v>732</v>
      </c>
      <c r="E7" s="46" t="s">
        <v>746</v>
      </c>
      <c r="F7" s="45" t="s">
        <v>504</v>
      </c>
      <c r="G7" s="45" t="s">
        <v>380</v>
      </c>
      <c r="H7" s="383" t="s">
        <v>745</v>
      </c>
    </row>
    <row r="8" spans="1:8" ht="24.95" customHeight="1" x14ac:dyDescent="0.2">
      <c r="A8" s="47" t="s">
        <v>48</v>
      </c>
      <c r="B8" s="488" t="s">
        <v>49</v>
      </c>
      <c r="C8" s="493">
        <v>103972296</v>
      </c>
      <c r="D8" s="493">
        <f>'Bevételek COFOG szerint 2023'!D50</f>
        <v>108350376</v>
      </c>
      <c r="E8" s="493">
        <f>'Bevételek COFOG szerint 2023'!E50</f>
        <v>82346290</v>
      </c>
      <c r="F8" s="493">
        <f>'Bevételek COFOG szerint 2023'!F50</f>
        <v>0</v>
      </c>
      <c r="G8" s="521">
        <f>SUM(H8/D8*100)</f>
        <v>100</v>
      </c>
      <c r="H8" s="48">
        <f>'Bevételek COFOG szerint 2023'!H50</f>
        <v>108350376</v>
      </c>
    </row>
    <row r="9" spans="1:8" ht="24.95" customHeight="1" x14ac:dyDescent="0.2">
      <c r="A9" s="49" t="s">
        <v>50</v>
      </c>
      <c r="B9" s="50" t="s">
        <v>51</v>
      </c>
      <c r="C9" s="51">
        <v>77081860</v>
      </c>
      <c r="D9" s="51">
        <f>'Bevételek COFOG szerint 2023'!D61</f>
        <v>83832616</v>
      </c>
      <c r="E9" s="51">
        <f>'Bevételek COFOG szerint 2023'!E61</f>
        <v>64043666</v>
      </c>
      <c r="F9" s="51">
        <f>'Bevételek COFOG szerint 2023'!F61</f>
        <v>-286017</v>
      </c>
      <c r="G9" s="521">
        <f t="shared" ref="G9:G13" si="0">SUM(H9/D9*100)</f>
        <v>99.658823720829616</v>
      </c>
      <c r="H9" s="52">
        <f>'Bevételek COFOG szerint 2023'!H61</f>
        <v>83546599</v>
      </c>
    </row>
    <row r="10" spans="1:8" ht="24.95" customHeight="1" x14ac:dyDescent="0.2">
      <c r="A10" s="49" t="s">
        <v>52</v>
      </c>
      <c r="B10" s="50" t="s">
        <v>53</v>
      </c>
      <c r="C10" s="51">
        <v>56917734</v>
      </c>
      <c r="D10" s="51">
        <f>'Bevételek COFOG szerint 2023'!D69+'Bevételek COFOG szerint 2023'!D76</f>
        <v>61310112</v>
      </c>
      <c r="E10" s="51">
        <f>'Bevételek COFOG szerint 2023'!E69+'Bevételek COFOG szerint 2023'!E76</f>
        <v>46658737</v>
      </c>
      <c r="F10" s="51">
        <f>'Bevételek COFOG szerint 2023'!F69+'Bevételek COFOG szerint 2023'!F76</f>
        <v>-261912</v>
      </c>
      <c r="G10" s="521">
        <f t="shared" si="0"/>
        <v>99.572807826545812</v>
      </c>
      <c r="H10" s="52">
        <f>'Bevételek COFOG szerint 2023'!H69+'Bevételek COFOG szerint 2023'!H76</f>
        <v>61048200</v>
      </c>
    </row>
    <row r="11" spans="1:8" ht="24.95" customHeight="1" x14ac:dyDescent="0.2">
      <c r="A11" s="49" t="s">
        <v>54</v>
      </c>
      <c r="B11" s="50" t="s">
        <v>55</v>
      </c>
      <c r="C11" s="51">
        <v>5800273</v>
      </c>
      <c r="D11" s="51">
        <f>'Bevételek COFOG szerint 2023'!D81</f>
        <v>6294273</v>
      </c>
      <c r="E11" s="51">
        <f>'Bevételek COFOG szerint 2023'!E81</f>
        <v>5997645</v>
      </c>
      <c r="F11" s="51">
        <f>'Bevételek COFOG szerint 2023'!F81</f>
        <v>1597368</v>
      </c>
      <c r="G11" s="521">
        <f t="shared" si="0"/>
        <v>125.37811753636996</v>
      </c>
      <c r="H11" s="52">
        <f>'Bevételek COFOG szerint 2023'!H81</f>
        <v>7891641</v>
      </c>
    </row>
    <row r="12" spans="1:8" ht="24.95" customHeight="1" x14ac:dyDescent="0.2">
      <c r="A12" s="53" t="s">
        <v>56</v>
      </c>
      <c r="B12" s="54" t="s">
        <v>57</v>
      </c>
      <c r="C12" s="55">
        <v>0</v>
      </c>
      <c r="D12" s="55">
        <f>SUM('Bevételek COFOG szerint 2023'!D85)</f>
        <v>0</v>
      </c>
      <c r="E12" s="55">
        <f>SUM('Bevételek COFOG szerint 2023'!E85)</f>
        <v>1706880</v>
      </c>
      <c r="F12" s="55">
        <f>SUM('Bevételek COFOG szerint 2023'!F85)</f>
        <v>1706880</v>
      </c>
      <c r="G12" s="521">
        <v>0</v>
      </c>
      <c r="H12" s="56">
        <f>SUM('Bevételek COFOG szerint 2023'!H85)</f>
        <v>1706880</v>
      </c>
    </row>
    <row r="13" spans="1:8" ht="24.95" customHeight="1" thickBot="1" x14ac:dyDescent="0.25">
      <c r="A13" s="62" t="s">
        <v>466</v>
      </c>
      <c r="B13" s="63" t="s">
        <v>712</v>
      </c>
      <c r="C13" s="64">
        <v>242630</v>
      </c>
      <c r="D13" s="64">
        <f>SUM('Bevételek COFOG szerint 2023'!D88)</f>
        <v>268106</v>
      </c>
      <c r="E13" s="64">
        <f>SUM('Bevételek COFOG szerint 2023'!E88)</f>
        <v>268106</v>
      </c>
      <c r="F13" s="64">
        <f>SUM('Bevételek COFOG szerint 2023'!F88)</f>
        <v>0</v>
      </c>
      <c r="G13" s="521">
        <f t="shared" si="0"/>
        <v>100</v>
      </c>
      <c r="H13" s="65">
        <f>SUM('Bevételek COFOG szerint 2023'!H88)</f>
        <v>268106</v>
      </c>
    </row>
    <row r="14" spans="1:8" ht="30" customHeight="1" thickBot="1" x14ac:dyDescent="0.25">
      <c r="A14" s="847" t="s">
        <v>58</v>
      </c>
      <c r="B14" s="848"/>
      <c r="C14" s="351">
        <f>SUM(C8:C13)</f>
        <v>244014793</v>
      </c>
      <c r="D14" s="351">
        <f>SUM(D8:D13)</f>
        <v>260055483</v>
      </c>
      <c r="E14" s="351">
        <f t="shared" ref="E14" si="1">SUM(E8:E13)</f>
        <v>201021324</v>
      </c>
      <c r="F14" s="57">
        <f>SUM(F8:F13)</f>
        <v>2756319</v>
      </c>
      <c r="G14" s="279">
        <f>H14/D14*100</f>
        <v>101.05989651446802</v>
      </c>
      <c r="H14" s="58">
        <f>SUM(H8:H13)</f>
        <v>262811802</v>
      </c>
    </row>
    <row r="15" spans="1:8" ht="24.95" customHeight="1" thickBot="1" x14ac:dyDescent="0.25">
      <c r="A15" s="53" t="s">
        <v>60</v>
      </c>
      <c r="B15" s="489" t="s">
        <v>61</v>
      </c>
      <c r="C15" s="745">
        <f>'Bevételek COFOG szerint 2023'!C11+'Bevételek COFOG szerint 2023'!C12+'Bevételek COFOG szerint 2023'!C102+'Bevételek COFOG szerint 2023'!C118+'Bevételek COFOG szerint 2023'!C123+'Bevételek COFOG szerint 2023'!C129+'Bevételek COFOG szerint 2023'!C135</f>
        <v>7936200</v>
      </c>
      <c r="D15" s="746">
        <f>'Bevételek COFOG szerint 2023'!D11+'Bevételek COFOG szerint 2023'!D12+'Bevételek COFOG szerint 2023'!D102+'Bevételek COFOG szerint 2023'!D118+'Bevételek COFOG szerint 2023'!D123+'Bevételek COFOG szerint 2023'!D129+'Bevételek COFOG szerint 2023'!D135</f>
        <v>8455385</v>
      </c>
      <c r="E15" s="746">
        <f>'Bevételek COFOG szerint 2023'!E11+'Bevételek COFOG szerint 2023'!E12+'Bevételek COFOG szerint 2023'!E102+'Bevételek COFOG szerint 2023'!E118+'Bevételek COFOG szerint 2023'!E123+'Bevételek COFOG szerint 2023'!E129+'Bevételek COFOG szerint 2023'!E135</f>
        <v>12097529</v>
      </c>
      <c r="F15" s="746">
        <f>'Bevételek COFOG szerint 2023'!F11+'Bevételek COFOG szerint 2023'!F12+'Bevételek COFOG szerint 2023'!F102+'Bevételek COFOG szerint 2023'!F118+'Bevételek COFOG szerint 2023'!F123+'Bevételek COFOG szerint 2023'!F129+'Bevételek COFOG szerint 2023'!F135</f>
        <v>4835114</v>
      </c>
      <c r="G15" s="747">
        <f>SUM(H15/D15*100)</f>
        <v>157.18384201310761</v>
      </c>
      <c r="H15" s="56">
        <f>'Bevételek COFOG szerint 2023'!H11+'Bevételek COFOG szerint 2023'!H12+'Bevételek COFOG szerint 2023'!H102+'Bevételek COFOG szerint 2023'!H118+'Bevételek COFOG szerint 2023'!H123+'Bevételek COFOG szerint 2023'!H129+'Bevételek COFOG szerint 2023'!H135</f>
        <v>13290499</v>
      </c>
    </row>
    <row r="16" spans="1:8" ht="30" customHeight="1" thickBot="1" x14ac:dyDescent="0.25">
      <c r="A16" s="847" t="s">
        <v>62</v>
      </c>
      <c r="B16" s="848"/>
      <c r="C16" s="351">
        <f>SUM(C15:C15)</f>
        <v>7936200</v>
      </c>
      <c r="D16" s="351">
        <f>SUM(D15:D15)</f>
        <v>8455385</v>
      </c>
      <c r="E16" s="351">
        <f>SUM(E15:E15)</f>
        <v>12097529</v>
      </c>
      <c r="F16" s="57">
        <f>SUM(F15:F15)</f>
        <v>4835114</v>
      </c>
      <c r="G16" s="280">
        <f>H16/D16*100</f>
        <v>157.18384201310761</v>
      </c>
      <c r="H16" s="58">
        <f>SUM(H15:H15)</f>
        <v>13290499</v>
      </c>
    </row>
    <row r="17" spans="1:10" ht="30" customHeight="1" x14ac:dyDescent="0.2">
      <c r="A17" s="416" t="s">
        <v>535</v>
      </c>
      <c r="B17" s="494" t="s">
        <v>515</v>
      </c>
      <c r="C17" s="260">
        <f>'Bevételek COFOG szerint 2023'!C90</f>
        <v>0</v>
      </c>
      <c r="D17" s="490"/>
      <c r="E17" s="661"/>
      <c r="F17" s="260">
        <f>H17-C17</f>
        <v>0</v>
      </c>
      <c r="G17" s="523">
        <f>'Bevételek COFOG szerint 2023'!G90</f>
        <v>0</v>
      </c>
      <c r="H17" s="417"/>
    </row>
    <row r="18" spans="1:10" ht="36.75" customHeight="1" thickBot="1" x14ac:dyDescent="0.25">
      <c r="A18" s="413" t="s">
        <v>472</v>
      </c>
      <c r="B18" s="748" t="s">
        <v>473</v>
      </c>
      <c r="C18" s="486">
        <f>'Bevételek COFOG szerint 2023'!C140+'Bevételek COFOG szerint 2023'!C124</f>
        <v>0</v>
      </c>
      <c r="D18" s="749">
        <f>'Bevételek COFOG szerint 2023'!D140+'Bevételek COFOG szerint 2023'!D124</f>
        <v>0</v>
      </c>
      <c r="E18" s="749">
        <f>'Bevételek COFOG szerint 2023'!E140+'Bevételek COFOG szerint 2023'!E124</f>
        <v>5500022</v>
      </c>
      <c r="F18" s="749">
        <f>'Bevételek COFOG szerint 2023'!F140+'Bevételek COFOG szerint 2023'!F124</f>
        <v>5500022</v>
      </c>
      <c r="G18" s="750">
        <f>'Bevételek COFOG szerint 2023'!G140+'Bevételek COFOG szerint 2023'!G124</f>
        <v>0</v>
      </c>
      <c r="H18" s="415">
        <f>'Bevételek COFOG szerint 2023'!H140+'Bevételek COFOG szerint 2023'!H124</f>
        <v>5500022</v>
      </c>
    </row>
    <row r="19" spans="1:10" ht="30" customHeight="1" thickBot="1" x14ac:dyDescent="0.25">
      <c r="A19" s="847" t="s">
        <v>488</v>
      </c>
      <c r="B19" s="848"/>
      <c r="C19" s="351">
        <f>SUM(C17:C18)</f>
        <v>0</v>
      </c>
      <c r="D19" s="351">
        <f t="shared" ref="D19:E19" si="2">SUM(D17:D18)</f>
        <v>0</v>
      </c>
      <c r="E19" s="351">
        <f t="shared" si="2"/>
        <v>5500022</v>
      </c>
      <c r="F19" s="57">
        <f>F18+F17</f>
        <v>5500022</v>
      </c>
      <c r="G19" s="280">
        <v>0</v>
      </c>
      <c r="H19" s="58">
        <f>H18+H17</f>
        <v>5500022</v>
      </c>
    </row>
    <row r="20" spans="1:10" ht="24.95" customHeight="1" x14ac:dyDescent="0.2">
      <c r="A20" s="49" t="s">
        <v>64</v>
      </c>
      <c r="B20" s="488" t="s">
        <v>65</v>
      </c>
      <c r="C20" s="751">
        <f>'Bevételek COFOG szerint 2023'!C168</f>
        <v>7000000</v>
      </c>
      <c r="D20" s="493">
        <f>'Bevételek COFOG szerint 2023'!D168</f>
        <v>7000000</v>
      </c>
      <c r="E20" s="493">
        <f>'Bevételek COFOG szerint 2023'!E168</f>
        <v>7774368</v>
      </c>
      <c r="F20" s="811">
        <f>'Bevételek COFOG szerint 2023'!F168</f>
        <v>830000</v>
      </c>
      <c r="G20" s="522">
        <f>'Bevételek COFOG szerint 2023'!G168</f>
        <v>111.85714285714286</v>
      </c>
      <c r="H20" s="52">
        <f>'Bevételek COFOG szerint 2023'!H168</f>
        <v>7830000</v>
      </c>
    </row>
    <row r="21" spans="1:10" ht="24.95" customHeight="1" x14ac:dyDescent="0.2">
      <c r="A21" s="49" t="s">
        <v>66</v>
      </c>
      <c r="B21" s="50" t="s">
        <v>67</v>
      </c>
      <c r="C21" s="670">
        <f>'Bevételek COFOG szerint 2023'!C169</f>
        <v>55000000</v>
      </c>
      <c r="D21" s="51">
        <f>'Bevételek COFOG szerint 2023'!D169</f>
        <v>55000000</v>
      </c>
      <c r="E21" s="51">
        <f>'Bevételek COFOG szerint 2023'!E169</f>
        <v>71058466</v>
      </c>
      <c r="F21" s="812">
        <f>'Bevételek COFOG szerint 2023'!F169</f>
        <v>26000000</v>
      </c>
      <c r="G21" s="522">
        <f>'Bevételek COFOG szerint 2023'!G169</f>
        <v>147.27272727272725</v>
      </c>
      <c r="H21" s="52">
        <f>'Bevételek COFOG szerint 2023'!H169</f>
        <v>81000000</v>
      </c>
    </row>
    <row r="22" spans="1:10" ht="24.95" customHeight="1" x14ac:dyDescent="0.2">
      <c r="A22" s="49" t="s">
        <v>483</v>
      </c>
      <c r="B22" s="50" t="s">
        <v>484</v>
      </c>
      <c r="C22" s="670">
        <f>'Bevételek COFOG szerint 2023'!C171</f>
        <v>200000</v>
      </c>
      <c r="D22" s="51">
        <f>'Bevételek COFOG szerint 2023'!D171</f>
        <v>200000</v>
      </c>
      <c r="E22" s="51">
        <f>'Bevételek COFOG szerint 2023'!E171</f>
        <v>189500</v>
      </c>
      <c r="F22" s="812">
        <f>'Bevételek COFOG szerint 2023'!F171</f>
        <v>0</v>
      </c>
      <c r="G22" s="522">
        <f>'Bevételek COFOG szerint 2023'!G171</f>
        <v>100</v>
      </c>
      <c r="H22" s="52">
        <f>'Bevételek COFOG szerint 2023'!H171</f>
        <v>200000</v>
      </c>
    </row>
    <row r="23" spans="1:10" ht="24.95" customHeight="1" thickBot="1" x14ac:dyDescent="0.25">
      <c r="A23" s="49" t="s">
        <v>76</v>
      </c>
      <c r="B23" s="50" t="s">
        <v>77</v>
      </c>
      <c r="C23" s="671">
        <f>'Bevételek COFOG szerint 2023'!C175</f>
        <v>300000</v>
      </c>
      <c r="D23" s="64">
        <f>'Bevételek COFOG szerint 2023'!D175</f>
        <v>300000</v>
      </c>
      <c r="E23" s="64">
        <f>'Bevételek COFOG szerint 2023'!E175</f>
        <v>551272</v>
      </c>
      <c r="F23" s="813">
        <f>SUM(H23-D23)</f>
        <v>290000</v>
      </c>
      <c r="G23" s="522">
        <f>'Bevételek COFOG szerint 2023'!G175</f>
        <v>196.66666666666666</v>
      </c>
      <c r="H23" s="52">
        <f>'Bevételek COFOG szerint 2023'!H175</f>
        <v>590000</v>
      </c>
    </row>
    <row r="24" spans="1:10" ht="24.95" customHeight="1" thickBot="1" x14ac:dyDescent="0.25">
      <c r="A24" s="847" t="s">
        <v>79</v>
      </c>
      <c r="B24" s="849"/>
      <c r="C24" s="756">
        <f t="shared" ref="C24:F24" si="3">SUM(C20:C23)</f>
        <v>62500000</v>
      </c>
      <c r="D24" s="758">
        <f t="shared" si="3"/>
        <v>62500000</v>
      </c>
      <c r="E24" s="758">
        <f t="shared" si="3"/>
        <v>79573606</v>
      </c>
      <c r="F24" s="814">
        <f t="shared" si="3"/>
        <v>27120000</v>
      </c>
      <c r="G24" s="757">
        <f>SUM(H24/D24*100)</f>
        <v>143.392</v>
      </c>
      <c r="H24" s="60">
        <f>SUM(H20:H23)</f>
        <v>89620000</v>
      </c>
    </row>
    <row r="25" spans="1:10" ht="24.95" customHeight="1" x14ac:dyDescent="0.2">
      <c r="A25" s="827" t="s">
        <v>80</v>
      </c>
      <c r="B25" s="831" t="s">
        <v>81</v>
      </c>
      <c r="C25" s="830">
        <f>SUM('Bevételek COFOG szerint 2023'!C151+'Bevételek COFOG szerint 2023'!C15)</f>
        <v>358000</v>
      </c>
      <c r="D25" s="493">
        <f>SUM('Bevételek COFOG szerint 2023'!D151+'Bevételek COFOG szerint 2023'!D15)</f>
        <v>358000</v>
      </c>
      <c r="E25" s="493">
        <f>SUM('Bevételek COFOG szerint 2023'!E151+'Bevételek COFOG szerint 2023'!E15)</f>
        <v>378000</v>
      </c>
      <c r="F25" s="493">
        <f>SUM('Bevételek COFOG szerint 2023'!F151+'Bevételek COFOG szerint 2023'!F15)</f>
        <v>40000</v>
      </c>
      <c r="G25" s="522">
        <f>SUM(H25/D25*100)</f>
        <v>111.17318435754191</v>
      </c>
      <c r="H25" s="52">
        <f>SUM('Bevételek COFOG szerint 2023'!H151+'Bevételek COFOG szerint 2023'!H15)</f>
        <v>398000</v>
      </c>
    </row>
    <row r="26" spans="1:10" ht="24.95" customHeight="1" x14ac:dyDescent="0.2">
      <c r="A26" s="827" t="s">
        <v>460</v>
      </c>
      <c r="B26" s="832" t="s">
        <v>461</v>
      </c>
      <c r="C26" s="491">
        <f>SUM('Bevételek COFOG szerint 2023'!C16)</f>
        <v>1620000</v>
      </c>
      <c r="D26" s="51">
        <f>SUM('Bevételek COFOG szerint 2023'!D16)</f>
        <v>1620000</v>
      </c>
      <c r="E26" s="51">
        <f>SUM('Bevételek COFOG szerint 2023'!E16)</f>
        <v>2283480</v>
      </c>
      <c r="F26" s="51">
        <f>SUM('Bevételek COFOG szerint 2023'!F16)</f>
        <v>880000</v>
      </c>
      <c r="G26" s="522">
        <f t="shared" ref="G26:G33" si="4">SUM(H26/D26*100)</f>
        <v>154.32098765432099</v>
      </c>
      <c r="H26" s="52">
        <f>SUM('Bevételek COFOG szerint 2023'!H16)</f>
        <v>2500000</v>
      </c>
    </row>
    <row r="27" spans="1:10" ht="24.95" customHeight="1" x14ac:dyDescent="0.2">
      <c r="A27" s="828" t="s">
        <v>82</v>
      </c>
      <c r="B27" s="833" t="s">
        <v>83</v>
      </c>
      <c r="C27" s="491">
        <f>SUM('Bevételek COFOG szerint 2023'!C17+'Bevételek COFOG szerint 2023'!C44+'Bevételek COFOG szerint 2023'!C112+'Bevételek COFOG szerint 2023'!C39)</f>
        <v>7700000</v>
      </c>
      <c r="D27" s="51">
        <f>SUM('Bevételek COFOG szerint 2023'!D17+'Bevételek COFOG szerint 2023'!D44+'Bevételek COFOG szerint 2023'!D112+'Bevételek COFOG szerint 2023'!D39)</f>
        <v>10559550</v>
      </c>
      <c r="E27" s="51">
        <f>SUM('Bevételek COFOG szerint 2023'!E17+'Bevételek COFOG szerint 2023'!E44+'Bevételek COFOG szerint 2023'!E112+'Bevételek COFOG szerint 2023'!E39)</f>
        <v>10036398</v>
      </c>
      <c r="F27" s="51">
        <f>SUM('Bevételek COFOG szerint 2023'!F17+'Bevételek COFOG szerint 2023'!F44+'Bevételek COFOG szerint 2023'!F112+'Bevételek COFOG szerint 2023'!F39)</f>
        <v>69008</v>
      </c>
      <c r="G27" s="522">
        <f t="shared" si="4"/>
        <v>100.65351269703729</v>
      </c>
      <c r="H27" s="52">
        <f>SUM('Bevételek COFOG szerint 2023'!H17+'Bevételek COFOG szerint 2023'!H44+'Bevételek COFOG szerint 2023'!H112+'Bevételek COFOG szerint 2023'!H39)</f>
        <v>10628558</v>
      </c>
      <c r="J27" s="61"/>
    </row>
    <row r="28" spans="1:10" ht="24.95" customHeight="1" x14ac:dyDescent="0.2">
      <c r="A28" s="828" t="s">
        <v>84</v>
      </c>
      <c r="B28" s="833" t="s">
        <v>85</v>
      </c>
      <c r="C28" s="491">
        <f>SUM('Bevételek COFOG szerint 2023'!C145+'Bevételek COFOG szerint 2023'!C162+'Bevételek COFOG szerint 2023'!C157)</f>
        <v>4400000</v>
      </c>
      <c r="D28" s="51">
        <f>SUM('Bevételek COFOG szerint 2023'!D145+'Bevételek COFOG szerint 2023'!D162+'Bevételek COFOG szerint 2023'!D157)</f>
        <v>4400000</v>
      </c>
      <c r="E28" s="51">
        <f>SUM('Bevételek COFOG szerint 2023'!E145+'Bevételek COFOG szerint 2023'!E162+'Bevételek COFOG szerint 2023'!E157)</f>
        <v>4207240</v>
      </c>
      <c r="F28" s="51">
        <f>SUM('Bevételek COFOG szerint 2023'!F145+'Bevételek COFOG szerint 2023'!F162+'Bevételek COFOG szerint 2023'!F157)</f>
        <v>840000</v>
      </c>
      <c r="G28" s="522">
        <f t="shared" si="4"/>
        <v>119.09090909090909</v>
      </c>
      <c r="H28" s="52">
        <f>SUM('Bevételek COFOG szerint 2023'!H145+'Bevételek COFOG szerint 2023'!H162+'Bevételek COFOG szerint 2023'!H157)</f>
        <v>5240000</v>
      </c>
    </row>
    <row r="29" spans="1:10" ht="24.95" customHeight="1" x14ac:dyDescent="0.2">
      <c r="A29" s="828" t="s">
        <v>86</v>
      </c>
      <c r="B29" s="833" t="s">
        <v>87</v>
      </c>
      <c r="C29" s="491">
        <f>'Bevételek COFOG szerint 2023'!C113+'Bevételek COFOG szerint 2023'!C146+'Bevételek COFOG szerint 2023'!C163+'Bevételek COFOG szerint 2023'!C152</f>
        <v>2877660</v>
      </c>
      <c r="D29" s="51">
        <f>'Bevételek COFOG szerint 2023'!D113+'Bevételek COFOG szerint 2023'!D146+'Bevételek COFOG szerint 2023'!D163+'Bevételek COFOG szerint 2023'!D152</f>
        <v>3649739</v>
      </c>
      <c r="E29" s="51">
        <f>'Bevételek COFOG szerint 2023'!E113+'Bevételek COFOG szerint 2023'!E146+'Bevételek COFOG szerint 2023'!E163+'Bevételek COFOG szerint 2023'!E152</f>
        <v>3597745</v>
      </c>
      <c r="F29" s="51">
        <f>'Bevételek COFOG szerint 2023'!F113+'Bevételek COFOG szerint 2023'!F146+'Bevételek COFOG szerint 2023'!F163+'Bevételek COFOG szerint 2023'!F152</f>
        <v>226800</v>
      </c>
      <c r="G29" s="522">
        <f t="shared" si="4"/>
        <v>106.21414298392295</v>
      </c>
      <c r="H29" s="52">
        <f>'Bevételek COFOG szerint 2023'!H113+'Bevételek COFOG szerint 2023'!H146+'Bevételek COFOG szerint 2023'!H163+'Bevételek COFOG szerint 2023'!H152</f>
        <v>3876539</v>
      </c>
    </row>
    <row r="30" spans="1:10" ht="24.95" customHeight="1" x14ac:dyDescent="0.2">
      <c r="A30" s="828" t="s">
        <v>88</v>
      </c>
      <c r="B30" s="833" t="s">
        <v>89</v>
      </c>
      <c r="C30" s="491">
        <f>SUM('Bevételek COFOG szerint 2023'!C20)</f>
        <v>0</v>
      </c>
      <c r="D30" s="51">
        <f>SUM('Bevételek COFOG szerint 2023'!D20)</f>
        <v>337000</v>
      </c>
      <c r="E30" s="51">
        <f>SUM('Bevételek COFOG szerint 2023'!E20)</f>
        <v>337000</v>
      </c>
      <c r="F30" s="51">
        <f>SUM('Bevételek COFOG szerint 2023'!F20)</f>
        <v>0</v>
      </c>
      <c r="G30" s="522">
        <f t="shared" si="4"/>
        <v>100</v>
      </c>
      <c r="H30" s="52">
        <f>SUM('Bevételek COFOG szerint 2023'!H20)</f>
        <v>337000</v>
      </c>
    </row>
    <row r="31" spans="1:10" ht="24.95" customHeight="1" x14ac:dyDescent="0.2">
      <c r="A31" s="828" t="s">
        <v>90</v>
      </c>
      <c r="B31" s="833" t="s">
        <v>91</v>
      </c>
      <c r="C31" s="491">
        <f>SUM('Bevételek COFOG szerint 2023'!C21)</f>
        <v>0</v>
      </c>
      <c r="D31" s="491">
        <f>SUM('Bevételek COFOG szerint 2023'!D21)</f>
        <v>0</v>
      </c>
      <c r="E31" s="51">
        <f>SUM('Bevételek COFOG szerint 2023'!E21)</f>
        <v>0</v>
      </c>
      <c r="F31" s="51">
        <f>SUM('Bevételek COFOG szerint 2023'!F21)</f>
        <v>0</v>
      </c>
      <c r="G31" s="522">
        <v>0</v>
      </c>
      <c r="H31" s="52">
        <f>SUM('Bevételek COFOG szerint 2023'!H21)</f>
        <v>0</v>
      </c>
    </row>
    <row r="32" spans="1:10" ht="24.95" customHeight="1" x14ac:dyDescent="0.2">
      <c r="A32" s="828" t="s">
        <v>92</v>
      </c>
      <c r="B32" s="833" t="s">
        <v>383</v>
      </c>
      <c r="C32" s="491">
        <f>'Bevételek COFOG szerint 2023'!C45</f>
        <v>1260000</v>
      </c>
      <c r="D32" s="51">
        <f>'Bevételek COFOG szerint 2023'!D45+'Bevételek COFOG szerint 2023'!D130</f>
        <v>1260000</v>
      </c>
      <c r="E32" s="51">
        <f>'Bevételek COFOG szerint 2023'!E45+'Bevételek COFOG szerint 2023'!E130</f>
        <v>945000</v>
      </c>
      <c r="F32" s="51">
        <f>'Bevételek COFOG szerint 2023'!F45+'Bevételek COFOG szerint 2023'!F130</f>
        <v>200000</v>
      </c>
      <c r="G32" s="522">
        <f>'Bevételek COFOG szerint 2023'!G45+'Bevételek COFOG szerint 2023'!G130</f>
        <v>100</v>
      </c>
      <c r="H32" s="52">
        <f>'Bevételek COFOG szerint 2023'!H45+'Bevételek COFOG szerint 2023'!H130</f>
        <v>1460000</v>
      </c>
    </row>
    <row r="33" spans="1:11" ht="24.95" customHeight="1" thickBot="1" x14ac:dyDescent="0.25">
      <c r="A33" s="829" t="s">
        <v>94</v>
      </c>
      <c r="B33" s="834" t="s">
        <v>95</v>
      </c>
      <c r="C33" s="492">
        <f>SUM('Bevételek COFOG szerint 2023'!C22)</f>
        <v>10000</v>
      </c>
      <c r="D33" s="64">
        <f>SUM('Bevételek COFOG szerint 2023'!D22)</f>
        <v>10000</v>
      </c>
      <c r="E33" s="64">
        <f>SUM('Bevételek COFOG szerint 2023'!E22)</f>
        <v>5473</v>
      </c>
      <c r="F33" s="64">
        <f>SUM('Bevételek COFOG szerint 2023'!F22)</f>
        <v>0</v>
      </c>
      <c r="G33" s="522">
        <f t="shared" si="4"/>
        <v>100</v>
      </c>
      <c r="H33" s="65">
        <f>SUM('Bevételek COFOG szerint 2023'!H22)</f>
        <v>10000</v>
      </c>
    </row>
    <row r="34" spans="1:11" ht="30" customHeight="1" thickBot="1" x14ac:dyDescent="0.25">
      <c r="A34" s="846" t="s">
        <v>96</v>
      </c>
      <c r="B34" s="846"/>
      <c r="C34" s="756">
        <f t="shared" ref="C34:F34" si="5">SUM(C25:C33)</f>
        <v>18225660</v>
      </c>
      <c r="D34" s="59">
        <f t="shared" si="5"/>
        <v>22194289</v>
      </c>
      <c r="E34" s="59">
        <f t="shared" si="5"/>
        <v>21790336</v>
      </c>
      <c r="F34" s="59">
        <f t="shared" si="5"/>
        <v>2255808</v>
      </c>
      <c r="G34" s="757">
        <f>SUM(H34/D34*100)</f>
        <v>110.16391198654753</v>
      </c>
      <c r="H34" s="60">
        <f>SUM(H25:H33)</f>
        <v>24450097</v>
      </c>
    </row>
    <row r="35" spans="1:11" ht="24.95" customHeight="1" x14ac:dyDescent="0.2">
      <c r="A35" s="528" t="s">
        <v>97</v>
      </c>
      <c r="B35" s="644" t="s">
        <v>98</v>
      </c>
      <c r="C35" s="830">
        <f>'Bevételek COFOG szerint 2023'!C24</f>
        <v>3694000</v>
      </c>
      <c r="D35" s="493">
        <f>'Bevételek COFOG szerint 2023'!D24</f>
        <v>3826000</v>
      </c>
      <c r="E35" s="493">
        <f>'Bevételek COFOG szerint 2023'!E24</f>
        <v>3826000</v>
      </c>
      <c r="F35" s="493">
        <f>'Bevételek COFOG szerint 2023'!F24</f>
        <v>0</v>
      </c>
      <c r="G35" s="522">
        <f>'Bevételek COFOG szerint 2023'!G24</f>
        <v>100</v>
      </c>
      <c r="H35" s="52">
        <f>'Bevételek COFOG szerint 2023'!H24</f>
        <v>3826000</v>
      </c>
    </row>
    <row r="36" spans="1:11" ht="24.95" customHeight="1" x14ac:dyDescent="0.2">
      <c r="A36" s="47" t="s">
        <v>485</v>
      </c>
      <c r="B36" s="638" t="s">
        <v>486</v>
      </c>
      <c r="C36" s="491">
        <v>0</v>
      </c>
      <c r="D36" s="51">
        <v>0</v>
      </c>
      <c r="E36" s="51">
        <v>0</v>
      </c>
      <c r="F36" s="51">
        <v>0</v>
      </c>
      <c r="G36" s="522">
        <v>0</v>
      </c>
      <c r="H36" s="52">
        <v>0</v>
      </c>
    </row>
    <row r="37" spans="1:11" ht="24.95" customHeight="1" x14ac:dyDescent="0.2">
      <c r="A37" s="49" t="s">
        <v>99</v>
      </c>
      <c r="B37" s="639" t="s">
        <v>100</v>
      </c>
      <c r="C37" s="491">
        <f>'Bevételek COFOG szerint 2023'!C32</f>
        <v>0</v>
      </c>
      <c r="D37" s="51">
        <f>'Bevételek COFOG szerint 2023'!D32</f>
        <v>0</v>
      </c>
      <c r="E37" s="51">
        <f>'Bevételek COFOG szerint 2023'!E32</f>
        <v>0</v>
      </c>
      <c r="F37" s="51">
        <f>'Bevételek COFOG szerint 2023'!F32</f>
        <v>206036</v>
      </c>
      <c r="G37" s="522">
        <f>'Bevételek COFOG szerint 2023'!G32</f>
        <v>0</v>
      </c>
      <c r="H37" s="52">
        <f>'Bevételek COFOG szerint 2023'!H32</f>
        <v>206036</v>
      </c>
    </row>
    <row r="38" spans="1:11" ht="24.95" customHeight="1" x14ac:dyDescent="0.2">
      <c r="A38" s="49" t="s">
        <v>462</v>
      </c>
      <c r="B38" s="639" t="s">
        <v>487</v>
      </c>
      <c r="C38" s="491">
        <f>'Bevételek COFOG szerint 2023'!C34</f>
        <v>219940</v>
      </c>
      <c r="D38" s="51">
        <f>'Bevételek COFOG szerint 2023'!D34</f>
        <v>219940</v>
      </c>
      <c r="E38" s="51">
        <f>'Bevételek COFOG szerint 2023'!E34</f>
        <v>180030</v>
      </c>
      <c r="F38" s="51">
        <f>'Bevételek COFOG szerint 2023'!F34</f>
        <v>40000</v>
      </c>
      <c r="G38" s="522">
        <f>SUM(H38/D38*100)</f>
        <v>118.1867782122397</v>
      </c>
      <c r="H38" s="52">
        <f>'Bevételek COFOG szerint 2023'!H34</f>
        <v>259940</v>
      </c>
    </row>
    <row r="39" spans="1:11" ht="24.95" customHeight="1" x14ac:dyDescent="0.2">
      <c r="A39" s="53" t="s">
        <v>384</v>
      </c>
      <c r="B39" s="639" t="s">
        <v>103</v>
      </c>
      <c r="C39" s="491">
        <v>0</v>
      </c>
      <c r="D39" s="51">
        <v>0</v>
      </c>
      <c r="E39" s="51">
        <v>0</v>
      </c>
      <c r="F39" s="51">
        <v>0</v>
      </c>
      <c r="G39" s="522">
        <v>0</v>
      </c>
      <c r="H39" s="52">
        <v>0</v>
      </c>
    </row>
    <row r="40" spans="1:11" ht="39" customHeight="1" thickBot="1" x14ac:dyDescent="0.25">
      <c r="A40" s="62" t="s">
        <v>104</v>
      </c>
      <c r="B40" s="643" t="s">
        <v>105</v>
      </c>
      <c r="C40" s="835">
        <v>0</v>
      </c>
      <c r="D40" s="755">
        <v>0</v>
      </c>
      <c r="E40" s="754"/>
      <c r="F40" s="529">
        <f t="shared" ref="F40" si="6">H40-C40</f>
        <v>0</v>
      </c>
      <c r="G40" s="522">
        <v>0</v>
      </c>
      <c r="H40" s="52">
        <v>0</v>
      </c>
    </row>
    <row r="41" spans="1:11" ht="28.5" customHeight="1" thickBot="1" x14ac:dyDescent="0.25">
      <c r="A41" s="844" t="s">
        <v>106</v>
      </c>
      <c r="B41" s="844"/>
      <c r="C41" s="60">
        <f t="shared" ref="C41:F41" si="7">SUM(C35:C40)</f>
        <v>3913940</v>
      </c>
      <c r="D41" s="60">
        <f t="shared" si="7"/>
        <v>4045940</v>
      </c>
      <c r="E41" s="60">
        <f t="shared" si="7"/>
        <v>4006030</v>
      </c>
      <c r="F41" s="60">
        <f t="shared" si="7"/>
        <v>246036</v>
      </c>
      <c r="G41" s="752">
        <f>SUM(H41/D41*100)</f>
        <v>106.0810590369605</v>
      </c>
      <c r="H41" s="60">
        <f>SUM(H35:H40)</f>
        <v>4291976</v>
      </c>
    </row>
    <row r="42" spans="1:11" ht="30" customHeight="1" thickBot="1" x14ac:dyDescent="0.25">
      <c r="A42" s="66" t="s">
        <v>107</v>
      </c>
      <c r="B42" s="67" t="s">
        <v>108</v>
      </c>
      <c r="C42" s="68">
        <f>'Bevételek COFOG szerint 2023'!C97</f>
        <v>330961145</v>
      </c>
      <c r="D42" s="68">
        <f>'Bevételek COFOG szerint 2023'!D97</f>
        <v>330961145</v>
      </c>
      <c r="E42" s="68">
        <f>'Bevételek COFOG szerint 2023'!E97</f>
        <v>330961145</v>
      </c>
      <c r="F42" s="68">
        <f>'Bevételek COFOG szerint 2023'!F97</f>
        <v>0</v>
      </c>
      <c r="G42" s="752">
        <f>SUM(H42/D42*100)</f>
        <v>100</v>
      </c>
      <c r="H42" s="68">
        <f>'Bevételek COFOG szerint 2023'!H97</f>
        <v>330961145</v>
      </c>
    </row>
    <row r="43" spans="1:11" ht="30" customHeight="1" thickBot="1" x14ac:dyDescent="0.25">
      <c r="A43" s="248" t="s">
        <v>377</v>
      </c>
      <c r="B43" s="249" t="s">
        <v>378</v>
      </c>
      <c r="C43" s="250">
        <f>SUM('Bevételek COFOG szerint 2023'!C91)</f>
        <v>0</v>
      </c>
      <c r="D43" s="250">
        <v>0</v>
      </c>
      <c r="E43" s="250"/>
      <c r="F43" s="250">
        <f>SUM('Bevételek COFOG szerint 2023'!F91)</f>
        <v>0</v>
      </c>
      <c r="G43" s="630">
        <f>SUM('Bevételek COFOG szerint 2023'!G91)</f>
        <v>0</v>
      </c>
      <c r="H43" s="250">
        <f>SUM('Bevételek COFOG szerint 2023'!H91)</f>
        <v>0</v>
      </c>
    </row>
    <row r="44" spans="1:11" ht="24.95" customHeight="1" thickBot="1" x14ac:dyDescent="0.25">
      <c r="A44" s="845" t="s">
        <v>109</v>
      </c>
      <c r="B44" s="845"/>
      <c r="C44" s="347">
        <f>C14+C16+C19+C24+C34+C41+C42+C43</f>
        <v>667551738</v>
      </c>
      <c r="D44" s="347">
        <f>D14+D16+D19+D24+D34+D41+D42+D43</f>
        <v>688212242</v>
      </c>
      <c r="E44" s="347">
        <f>E14+E16+E19+E24+E34+E41+E42+E43</f>
        <v>654949992</v>
      </c>
      <c r="F44" s="347">
        <f>F14+F16+F19+F24+F34+F41+F42+F43</f>
        <v>42713299</v>
      </c>
      <c r="G44" s="753">
        <f>SUM(H44/D44*100)</f>
        <v>106.2064137185168</v>
      </c>
      <c r="H44" s="347">
        <f>H14+H16+H19+H24+H34+H41+H42+H43</f>
        <v>730925541</v>
      </c>
      <c r="K44" s="69"/>
    </row>
    <row r="47" spans="1:11" x14ac:dyDescent="0.2">
      <c r="B47" s="70"/>
      <c r="C47" s="70"/>
      <c r="D47" s="70"/>
      <c r="E47" s="70"/>
    </row>
    <row r="48" spans="1:11" x14ac:dyDescent="0.2">
      <c r="B48" s="102" t="s">
        <v>374</v>
      </c>
      <c r="C48" s="242">
        <f>C44-'Bevételek COFOG szerint 2023'!C181</f>
        <v>0</v>
      </c>
      <c r="D48" s="242">
        <f>D44-'Bevételek COFOG szerint 2023'!D181</f>
        <v>0</v>
      </c>
      <c r="E48" s="242">
        <f>E44-'Bevételek COFOG szerint 2023'!E181</f>
        <v>0</v>
      </c>
      <c r="F48" s="242">
        <f>F44-'Bevételek COFOG szerint 2023'!F181</f>
        <v>0</v>
      </c>
      <c r="G48" s="242"/>
      <c r="H48" s="242">
        <f>H44-'Bevételek COFOG szerint 2023'!H181</f>
        <v>0</v>
      </c>
    </row>
  </sheetData>
  <sheetProtection algorithmName="SHA-512" hashValue="uV84Y29G5D7t8WnSjA/TY4Yq1iU2RchbX/EqQXtxQFMsM2GOOrfNmYvJZPqYstGbHbADFMg/TyKpXW4uWx9Kqw==" saltValue="ecdUgOS5IF1IZmG9nfJWdw==" spinCount="100000" sheet="1" objects="1" scenarios="1"/>
  <mergeCells count="13">
    <mergeCell ref="A14:B14"/>
    <mergeCell ref="A24:B24"/>
    <mergeCell ref="A2:H2"/>
    <mergeCell ref="A3:H3"/>
    <mergeCell ref="A5:H5"/>
    <mergeCell ref="A6:A7"/>
    <mergeCell ref="B6:B7"/>
    <mergeCell ref="C6:H6"/>
    <mergeCell ref="A41:B41"/>
    <mergeCell ref="A44:B44"/>
    <mergeCell ref="A34:B34"/>
    <mergeCell ref="A19:B19"/>
    <mergeCell ref="A16:B16"/>
  </mergeCells>
  <pageMargins left="0.98425196850393704" right="0.59055118110236227" top="0.59055118110236227" bottom="0.59055118110236227" header="0.51181102362204722" footer="0.51181102362204722"/>
  <pageSetup paperSize="9" scale="51" firstPageNumber="0" orientation="portrait" verticalDpi="300" r:id="rId1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9"/>
  <sheetViews>
    <sheetView topLeftCell="A4" zoomScaleNormal="100" workbookViewId="0">
      <selection activeCell="F11" sqref="F11:F12"/>
    </sheetView>
  </sheetViews>
  <sheetFormatPr defaultRowHeight="12.75" x14ac:dyDescent="0.2"/>
  <cols>
    <col min="1" max="1" width="9.7109375" style="678" customWidth="1"/>
    <col min="2" max="2" width="42.28515625" style="678" customWidth="1"/>
    <col min="3" max="4" width="12.85546875" style="678" customWidth="1"/>
    <col min="5" max="5" width="10.85546875" style="678" customWidth="1"/>
    <col min="6" max="6" width="12" style="678" customWidth="1"/>
    <col min="7" max="7" width="6.28515625" style="678" customWidth="1"/>
    <col min="8" max="8" width="13.28515625" style="743" customWidth="1"/>
    <col min="9" max="9" width="8.42578125" style="678" customWidth="1"/>
    <col min="10" max="10" width="25.42578125" style="680" bestFit="1" customWidth="1"/>
    <col min="11" max="11" width="13.85546875" style="680" customWidth="1"/>
    <col min="12" max="12" width="13.140625" style="678" bestFit="1" customWidth="1"/>
    <col min="13" max="13" width="15.85546875" style="678" customWidth="1"/>
    <col min="14" max="1026" width="8.42578125" style="678" customWidth="1"/>
    <col min="1027" max="16384" width="9.140625" style="678"/>
  </cols>
  <sheetData>
    <row r="1" spans="1:12" x14ac:dyDescent="0.2">
      <c r="H1" s="679" t="s">
        <v>110</v>
      </c>
    </row>
    <row r="2" spans="1:12" ht="15.75" x14ac:dyDescent="0.2">
      <c r="A2" s="873" t="s">
        <v>747</v>
      </c>
      <c r="B2" s="873"/>
      <c r="C2" s="873"/>
      <c r="D2" s="873"/>
      <c r="E2" s="873"/>
      <c r="F2" s="873"/>
      <c r="G2" s="873"/>
      <c r="H2" s="873"/>
    </row>
    <row r="3" spans="1:12" ht="15.75" x14ac:dyDescent="0.2">
      <c r="A3" s="873" t="s">
        <v>386</v>
      </c>
      <c r="B3" s="873"/>
      <c r="C3" s="873"/>
      <c r="D3" s="873"/>
      <c r="E3" s="873"/>
      <c r="F3" s="873"/>
      <c r="G3" s="873"/>
      <c r="H3" s="873"/>
    </row>
    <row r="4" spans="1:12" ht="20.25" customHeight="1" thickBot="1" x14ac:dyDescent="0.25">
      <c r="H4" s="681" t="s">
        <v>44</v>
      </c>
    </row>
    <row r="5" spans="1:12" ht="19.5" customHeight="1" thickBot="1" x14ac:dyDescent="0.25">
      <c r="A5" s="874" t="s">
        <v>111</v>
      </c>
      <c r="B5" s="874"/>
      <c r="C5" s="874"/>
      <c r="D5" s="874"/>
      <c r="E5" s="874"/>
      <c r="F5" s="874"/>
      <c r="G5" s="874"/>
      <c r="H5" s="874"/>
    </row>
    <row r="6" spans="1:12" s="683" customFormat="1" ht="19.5" customHeight="1" thickBot="1" x14ac:dyDescent="0.25">
      <c r="A6" s="682"/>
      <c r="B6" s="682"/>
      <c r="C6" s="682"/>
      <c r="D6" s="682"/>
      <c r="E6" s="682"/>
      <c r="F6" s="682"/>
      <c r="G6" s="682"/>
      <c r="H6" s="682"/>
      <c r="J6" s="684"/>
      <c r="K6" s="684"/>
    </row>
    <row r="7" spans="1:12" ht="24.75" customHeight="1" thickBot="1" x14ac:dyDescent="0.25">
      <c r="A7" s="875" t="s">
        <v>112</v>
      </c>
      <c r="B7" s="875"/>
      <c r="C7" s="875"/>
      <c r="D7" s="875"/>
      <c r="E7" s="875"/>
      <c r="F7" s="875"/>
      <c r="G7" s="875"/>
      <c r="H7" s="875"/>
    </row>
    <row r="8" spans="1:12" ht="15.75" customHeight="1" thickBot="1" x14ac:dyDescent="0.25">
      <c r="A8" s="858" t="s">
        <v>45</v>
      </c>
      <c r="B8" s="862" t="s">
        <v>46</v>
      </c>
      <c r="C8" s="868">
        <v>2023</v>
      </c>
      <c r="D8" s="869"/>
      <c r="E8" s="869"/>
      <c r="F8" s="869"/>
      <c r="G8" s="869"/>
      <c r="H8" s="870"/>
    </row>
    <row r="9" spans="1:12" ht="24.75" customHeight="1" thickBot="1" x14ac:dyDescent="0.25">
      <c r="A9" s="858"/>
      <c r="B9" s="862"/>
      <c r="C9" s="259" t="s">
        <v>47</v>
      </c>
      <c r="D9" s="658" t="s">
        <v>732</v>
      </c>
      <c r="E9" s="659" t="s">
        <v>746</v>
      </c>
      <c r="F9" s="657" t="s">
        <v>504</v>
      </c>
      <c r="G9" s="259" t="s">
        <v>380</v>
      </c>
      <c r="H9" s="616" t="s">
        <v>745</v>
      </c>
    </row>
    <row r="10" spans="1:12" ht="24.75" customHeight="1" x14ac:dyDescent="0.2">
      <c r="A10" s="74" t="s">
        <v>113</v>
      </c>
      <c r="B10" s="75" t="s">
        <v>114</v>
      </c>
      <c r="C10" s="353">
        <v>0</v>
      </c>
      <c r="D10" s="353"/>
      <c r="E10" s="353"/>
      <c r="F10" s="353">
        <f t="shared" ref="F10:F34" si="0">H10-C10</f>
        <v>0</v>
      </c>
      <c r="G10" s="272"/>
      <c r="H10" s="520">
        <v>0</v>
      </c>
    </row>
    <row r="11" spans="1:12" ht="34.5" customHeight="1" x14ac:dyDescent="0.2">
      <c r="A11" s="99" t="s">
        <v>749</v>
      </c>
      <c r="B11" s="77" t="s">
        <v>59</v>
      </c>
      <c r="C11" s="305">
        <v>0</v>
      </c>
      <c r="D11" s="652">
        <v>0</v>
      </c>
      <c r="E11" s="652">
        <v>1566000</v>
      </c>
      <c r="F11" s="353">
        <f t="shared" ref="F11:F16" si="1">H11-D11</f>
        <v>1566000</v>
      </c>
      <c r="G11" s="272">
        <v>0</v>
      </c>
      <c r="H11" s="92">
        <v>1566000</v>
      </c>
    </row>
    <row r="12" spans="1:12" ht="22.5" customHeight="1" x14ac:dyDescent="0.2">
      <c r="A12" s="99" t="s">
        <v>750</v>
      </c>
      <c r="B12" s="77" t="s">
        <v>61</v>
      </c>
      <c r="C12" s="305">
        <v>0</v>
      </c>
      <c r="D12" s="652">
        <v>0</v>
      </c>
      <c r="E12" s="652">
        <v>2927014</v>
      </c>
      <c r="F12" s="353">
        <f t="shared" si="1"/>
        <v>2927014</v>
      </c>
      <c r="G12" s="272">
        <v>0</v>
      </c>
      <c r="H12" s="92">
        <v>2927014</v>
      </c>
    </row>
    <row r="13" spans="1:12" ht="33.75" customHeight="1" x14ac:dyDescent="0.2">
      <c r="A13" s="76" t="s">
        <v>104</v>
      </c>
      <c r="B13" s="77" t="s">
        <v>105</v>
      </c>
      <c r="C13" s="305">
        <v>0</v>
      </c>
      <c r="D13" s="652"/>
      <c r="E13" s="652"/>
      <c r="F13" s="353">
        <f t="shared" si="1"/>
        <v>0</v>
      </c>
      <c r="G13" s="272"/>
      <c r="H13" s="92"/>
      <c r="J13" s="684"/>
      <c r="K13" s="684"/>
      <c r="L13" s="685"/>
    </row>
    <row r="14" spans="1:12" ht="12.75" customHeight="1" x14ac:dyDescent="0.2">
      <c r="A14" s="76" t="s">
        <v>115</v>
      </c>
      <c r="B14" s="77" t="s">
        <v>78</v>
      </c>
      <c r="C14" s="305">
        <v>0</v>
      </c>
      <c r="D14" s="652"/>
      <c r="E14" s="652"/>
      <c r="F14" s="353">
        <f t="shared" si="1"/>
        <v>0</v>
      </c>
      <c r="G14" s="272"/>
      <c r="H14" s="92"/>
    </row>
    <row r="15" spans="1:12" ht="12.75" customHeight="1" x14ac:dyDescent="0.2">
      <c r="A15" s="76" t="s">
        <v>80</v>
      </c>
      <c r="B15" s="77" t="s">
        <v>81</v>
      </c>
      <c r="C15" s="305">
        <v>100000</v>
      </c>
      <c r="D15" s="652">
        <v>100000</v>
      </c>
      <c r="E15" s="652">
        <v>120000</v>
      </c>
      <c r="F15" s="353">
        <f t="shared" si="1"/>
        <v>40000</v>
      </c>
      <c r="G15" s="272">
        <f>H15/D15*100</f>
        <v>140</v>
      </c>
      <c r="H15" s="92">
        <v>140000</v>
      </c>
      <c r="I15" s="678" t="s">
        <v>571</v>
      </c>
    </row>
    <row r="16" spans="1:12" ht="12.75" customHeight="1" x14ac:dyDescent="0.2">
      <c r="A16" s="99" t="s">
        <v>460</v>
      </c>
      <c r="B16" s="77" t="s">
        <v>461</v>
      </c>
      <c r="C16" s="305">
        <v>1620000</v>
      </c>
      <c r="D16" s="652">
        <v>1620000</v>
      </c>
      <c r="E16" s="652">
        <v>2283480</v>
      </c>
      <c r="F16" s="353">
        <f t="shared" si="1"/>
        <v>880000</v>
      </c>
      <c r="G16" s="272">
        <f>H16/D16*100</f>
        <v>154.32098765432099</v>
      </c>
      <c r="H16" s="92">
        <v>2500000</v>
      </c>
    </row>
    <row r="17" spans="1:13" ht="12.75" customHeight="1" x14ac:dyDescent="0.2">
      <c r="A17" s="876" t="s">
        <v>82</v>
      </c>
      <c r="B17" s="77" t="s">
        <v>83</v>
      </c>
      <c r="C17" s="305">
        <v>300000</v>
      </c>
      <c r="D17" s="652">
        <v>300000</v>
      </c>
      <c r="E17" s="652">
        <v>124102</v>
      </c>
      <c r="F17" s="353">
        <f>H17-D17</f>
        <v>0</v>
      </c>
      <c r="G17" s="272"/>
      <c r="H17" s="92">
        <v>300000</v>
      </c>
    </row>
    <row r="18" spans="1:13" ht="12.75" customHeight="1" x14ac:dyDescent="0.2">
      <c r="A18" s="876"/>
      <c r="B18" s="78"/>
      <c r="C18" s="354"/>
      <c r="D18" s="653"/>
      <c r="E18" s="653"/>
      <c r="F18" s="353">
        <f t="shared" si="0"/>
        <v>0</v>
      </c>
      <c r="G18" s="272"/>
      <c r="H18" s="92"/>
    </row>
    <row r="19" spans="1:13" ht="12.75" customHeight="1" x14ac:dyDescent="0.2">
      <c r="A19" s="76" t="s">
        <v>116</v>
      </c>
      <c r="B19" s="77" t="s">
        <v>87</v>
      </c>
      <c r="C19" s="305"/>
      <c r="D19" s="652"/>
      <c r="E19" s="652"/>
      <c r="F19" s="353">
        <f t="shared" si="0"/>
        <v>0</v>
      </c>
      <c r="G19" s="272"/>
      <c r="H19" s="92"/>
    </row>
    <row r="20" spans="1:13" ht="12.75" customHeight="1" x14ac:dyDescent="0.2">
      <c r="A20" s="76" t="s">
        <v>88</v>
      </c>
      <c r="B20" s="77" t="s">
        <v>89</v>
      </c>
      <c r="C20" s="305"/>
      <c r="D20" s="652">
        <v>337000</v>
      </c>
      <c r="E20" s="652">
        <v>337000</v>
      </c>
      <c r="F20" s="353">
        <f>H20-D20</f>
        <v>0</v>
      </c>
      <c r="G20" s="272">
        <f>H20/D20*100</f>
        <v>100</v>
      </c>
      <c r="H20" s="92">
        <v>337000</v>
      </c>
      <c r="I20" s="680"/>
    </row>
    <row r="21" spans="1:13" ht="12.75" customHeight="1" x14ac:dyDescent="0.2">
      <c r="A21" s="76" t="s">
        <v>90</v>
      </c>
      <c r="B21" s="77" t="s">
        <v>91</v>
      </c>
      <c r="C21" s="305"/>
      <c r="D21" s="652"/>
      <c r="E21" s="652"/>
      <c r="F21" s="353">
        <f t="shared" si="0"/>
        <v>0</v>
      </c>
      <c r="G21" s="272"/>
      <c r="H21" s="92"/>
      <c r="K21" s="686"/>
      <c r="L21" s="687"/>
    </row>
    <row r="22" spans="1:13" ht="12.75" customHeight="1" x14ac:dyDescent="0.2">
      <c r="A22" s="76" t="s">
        <v>92</v>
      </c>
      <c r="B22" s="77" t="s">
        <v>93</v>
      </c>
      <c r="C22" s="305">
        <v>10000</v>
      </c>
      <c r="D22" s="652">
        <v>10000</v>
      </c>
      <c r="E22" s="652">
        <v>5473</v>
      </c>
      <c r="F22" s="353">
        <f t="shared" si="0"/>
        <v>0</v>
      </c>
      <c r="G22" s="272">
        <f>H22/C22*100</f>
        <v>100</v>
      </c>
      <c r="H22" s="92">
        <v>10000</v>
      </c>
      <c r="K22" s="688"/>
      <c r="L22" s="689"/>
    </row>
    <row r="23" spans="1:13" ht="12.75" customHeight="1" x14ac:dyDescent="0.2">
      <c r="A23" s="79" t="s">
        <v>92</v>
      </c>
      <c r="B23" s="77"/>
      <c r="C23" s="305"/>
      <c r="D23" s="652"/>
      <c r="E23" s="652"/>
      <c r="F23" s="353">
        <f t="shared" si="0"/>
        <v>0</v>
      </c>
      <c r="G23" s="272"/>
      <c r="H23" s="92"/>
      <c r="K23" s="690"/>
      <c r="L23" s="689"/>
    </row>
    <row r="24" spans="1:13" ht="12.75" customHeight="1" x14ac:dyDescent="0.2">
      <c r="A24" s="76" t="s">
        <v>97</v>
      </c>
      <c r="B24" s="169" t="s">
        <v>98</v>
      </c>
      <c r="C24" s="355">
        <v>3694000</v>
      </c>
      <c r="D24" s="609">
        <v>3826000</v>
      </c>
      <c r="E24" s="609">
        <v>3826000</v>
      </c>
      <c r="F24" s="353">
        <f t="shared" ref="F24:F30" si="2">H24-D24</f>
        <v>0</v>
      </c>
      <c r="G24" s="272">
        <f>H24/D24*100</f>
        <v>100</v>
      </c>
      <c r="H24" s="691">
        <f>SUM(H25:H31)</f>
        <v>3826000</v>
      </c>
      <c r="K24" s="690"/>
      <c r="L24" s="689"/>
      <c r="M24" s="680"/>
    </row>
    <row r="25" spans="1:13" ht="12.75" customHeight="1" x14ac:dyDescent="0.2">
      <c r="A25" s="165"/>
      <c r="B25" s="169" t="s">
        <v>706</v>
      </c>
      <c r="C25" s="355">
        <v>118000</v>
      </c>
      <c r="D25" s="609">
        <v>118000</v>
      </c>
      <c r="E25" s="609"/>
      <c r="F25" s="353">
        <f t="shared" si="2"/>
        <v>0</v>
      </c>
      <c r="G25" s="272"/>
      <c r="H25" s="92">
        <v>118000</v>
      </c>
      <c r="K25" s="690"/>
      <c r="L25" s="689"/>
      <c r="M25" s="680"/>
    </row>
    <row r="26" spans="1:13" ht="12.75" customHeight="1" x14ac:dyDescent="0.2">
      <c r="A26" s="165"/>
      <c r="B26" s="169" t="s">
        <v>707</v>
      </c>
      <c r="C26" s="355">
        <v>121500</v>
      </c>
      <c r="D26" s="609">
        <v>121500</v>
      </c>
      <c r="E26" s="609"/>
      <c r="F26" s="353">
        <f t="shared" si="2"/>
        <v>0</v>
      </c>
      <c r="G26" s="272"/>
      <c r="H26" s="92">
        <v>121500</v>
      </c>
      <c r="K26" s="690"/>
      <c r="L26" s="689"/>
      <c r="M26" s="680"/>
    </row>
    <row r="27" spans="1:13" ht="12.75" customHeight="1" x14ac:dyDescent="0.2">
      <c r="A27" s="165"/>
      <c r="B27" s="169" t="s">
        <v>709</v>
      </c>
      <c r="C27" s="355">
        <v>182500</v>
      </c>
      <c r="D27" s="609">
        <v>182500</v>
      </c>
      <c r="E27" s="609"/>
      <c r="F27" s="353">
        <f t="shared" si="2"/>
        <v>0</v>
      </c>
      <c r="G27" s="272"/>
      <c r="H27" s="92">
        <v>182500</v>
      </c>
      <c r="K27" s="690"/>
      <c r="L27" s="689"/>
      <c r="M27" s="680"/>
    </row>
    <row r="28" spans="1:13" ht="12.75" customHeight="1" x14ac:dyDescent="0.2">
      <c r="A28" s="165"/>
      <c r="B28" s="169" t="s">
        <v>710</v>
      </c>
      <c r="C28" s="355">
        <v>46500</v>
      </c>
      <c r="D28" s="609">
        <v>46500</v>
      </c>
      <c r="E28" s="609"/>
      <c r="F28" s="353">
        <f t="shared" si="2"/>
        <v>0</v>
      </c>
      <c r="G28" s="272"/>
      <c r="H28" s="92">
        <v>46500</v>
      </c>
      <c r="K28" s="690"/>
      <c r="L28" s="689"/>
      <c r="M28" s="680"/>
    </row>
    <row r="29" spans="1:13" ht="12.75" customHeight="1" x14ac:dyDescent="0.2">
      <c r="A29" s="165"/>
      <c r="B29" s="174" t="s">
        <v>708</v>
      </c>
      <c r="C29" s="356">
        <v>86000</v>
      </c>
      <c r="D29" s="654">
        <v>86000</v>
      </c>
      <c r="E29" s="654"/>
      <c r="F29" s="353">
        <f t="shared" si="2"/>
        <v>0</v>
      </c>
      <c r="G29" s="272"/>
      <c r="H29" s="692">
        <v>86000</v>
      </c>
      <c r="L29" s="693"/>
      <c r="M29" s="680"/>
    </row>
    <row r="30" spans="1:13" ht="12.75" customHeight="1" x14ac:dyDescent="0.2">
      <c r="A30" s="165"/>
      <c r="B30" s="174" t="s">
        <v>705</v>
      </c>
      <c r="C30" s="356">
        <v>3139500</v>
      </c>
      <c r="D30" s="654">
        <v>3139500</v>
      </c>
      <c r="E30" s="654"/>
      <c r="F30" s="353">
        <f t="shared" si="2"/>
        <v>0</v>
      </c>
      <c r="G30" s="272"/>
      <c r="H30" s="692">
        <v>3139500</v>
      </c>
      <c r="L30" s="693"/>
      <c r="M30" s="680"/>
    </row>
    <row r="31" spans="1:13" ht="12.75" customHeight="1" x14ac:dyDescent="0.2">
      <c r="A31" s="165"/>
      <c r="B31" s="174" t="s">
        <v>734</v>
      </c>
      <c r="C31" s="356">
        <v>0</v>
      </c>
      <c r="D31" s="654">
        <v>132000</v>
      </c>
      <c r="E31" s="654"/>
      <c r="F31" s="353">
        <f>H31-D31</f>
        <v>0</v>
      </c>
      <c r="G31" s="272"/>
      <c r="H31" s="692">
        <v>132000</v>
      </c>
      <c r="L31" s="693"/>
      <c r="M31" s="680"/>
    </row>
    <row r="32" spans="1:13" ht="21" x14ac:dyDescent="0.2">
      <c r="A32" s="76" t="s">
        <v>99</v>
      </c>
      <c r="B32" s="77" t="s">
        <v>100</v>
      </c>
      <c r="C32" s="305"/>
      <c r="D32" s="652"/>
      <c r="E32" s="652"/>
      <c r="F32" s="353">
        <f t="shared" si="0"/>
        <v>206036</v>
      </c>
      <c r="G32" s="272">
        <v>0</v>
      </c>
      <c r="H32" s="92">
        <v>206036</v>
      </c>
      <c r="K32" s="694"/>
      <c r="L32" s="693"/>
    </row>
    <row r="33" spans="1:13" x14ac:dyDescent="0.2">
      <c r="A33" s="76" t="s">
        <v>101</v>
      </c>
      <c r="B33" s="77" t="s">
        <v>102</v>
      </c>
      <c r="C33" s="305"/>
      <c r="D33" s="652"/>
      <c r="E33" s="652"/>
      <c r="F33" s="353">
        <f t="shared" si="0"/>
        <v>0</v>
      </c>
      <c r="G33" s="272"/>
      <c r="H33" s="92"/>
      <c r="L33" s="678" t="s">
        <v>574</v>
      </c>
      <c r="M33" s="678" t="s">
        <v>667</v>
      </c>
    </row>
    <row r="34" spans="1:13" ht="21.75" thickBot="1" x14ac:dyDescent="0.25">
      <c r="A34" s="79" t="s">
        <v>462</v>
      </c>
      <c r="B34" s="80" t="s">
        <v>463</v>
      </c>
      <c r="C34" s="357">
        <v>219940</v>
      </c>
      <c r="D34" s="655">
        <v>219940</v>
      </c>
      <c r="E34" s="655">
        <v>180030</v>
      </c>
      <c r="F34" s="353">
        <f t="shared" si="0"/>
        <v>40000</v>
      </c>
      <c r="G34" s="272">
        <f>H34/D34*100</f>
        <v>118.1867782122397</v>
      </c>
      <c r="H34" s="592">
        <v>259940</v>
      </c>
      <c r="I34" s="683"/>
      <c r="J34" s="680" t="s">
        <v>572</v>
      </c>
      <c r="K34" s="695">
        <v>99920</v>
      </c>
      <c r="L34" s="696">
        <v>99920</v>
      </c>
      <c r="M34" s="678">
        <v>0</v>
      </c>
    </row>
    <row r="35" spans="1:13" ht="19.5" customHeight="1" thickBot="1" x14ac:dyDescent="0.25">
      <c r="A35" s="863" t="s">
        <v>117</v>
      </c>
      <c r="B35" s="863"/>
      <c r="C35" s="540">
        <f>SUM(C15+C16+C17+C22+C24+C32+C34)</f>
        <v>5943940</v>
      </c>
      <c r="D35" s="540">
        <f>SUM(D15+D16+D17+D22+D24+D32+D34+D12+D11+D20)</f>
        <v>6412940</v>
      </c>
      <c r="E35" s="540">
        <f>SUM(E15+E16+E17+E22+E24+E32+E34+E12+E11+E20)</f>
        <v>11369099</v>
      </c>
      <c r="F35" s="540">
        <f>SUM(F15+F16+F17+F22+F24+F32+F34+F12+F11+F20)</f>
        <v>5659050</v>
      </c>
      <c r="G35" s="541">
        <f>H35/D35*100</f>
        <v>188.24423743244128</v>
      </c>
      <c r="H35" s="542">
        <f>H12+H15+H16+H17+H19+H20+H21+H22+H24+H32+H34+H11</f>
        <v>12071990</v>
      </c>
      <c r="J35" s="680" t="s">
        <v>573</v>
      </c>
      <c r="K35" s="695">
        <v>20000</v>
      </c>
      <c r="L35" s="696">
        <v>20000</v>
      </c>
      <c r="M35" s="678">
        <v>0</v>
      </c>
    </row>
    <row r="36" spans="1:13" ht="19.5" customHeight="1" thickBot="1" x14ac:dyDescent="0.25">
      <c r="A36" s="857" t="s">
        <v>780</v>
      </c>
      <c r="B36" s="857"/>
      <c r="C36" s="857"/>
      <c r="D36" s="857"/>
      <c r="E36" s="857"/>
      <c r="F36" s="857"/>
      <c r="G36" s="857"/>
      <c r="H36" s="857"/>
      <c r="J36" s="680" t="s">
        <v>647</v>
      </c>
      <c r="K36" s="695">
        <v>383310</v>
      </c>
      <c r="L36" s="696">
        <v>100020</v>
      </c>
      <c r="M36" s="696">
        <f>SUM(K36-L36)</f>
        <v>283290</v>
      </c>
    </row>
    <row r="37" spans="1:13" ht="19.5" customHeight="1" thickBot="1" x14ac:dyDescent="0.25">
      <c r="A37" s="858" t="s">
        <v>45</v>
      </c>
      <c r="B37" s="862" t="s">
        <v>46</v>
      </c>
      <c r="C37" s="868">
        <v>2023</v>
      </c>
      <c r="D37" s="869"/>
      <c r="E37" s="869"/>
      <c r="F37" s="869"/>
      <c r="G37" s="869"/>
      <c r="H37" s="870"/>
      <c r="J37" s="680" t="s">
        <v>751</v>
      </c>
      <c r="K37" s="695">
        <v>500000</v>
      </c>
      <c r="L37" s="696">
        <v>40000</v>
      </c>
      <c r="M37" s="696">
        <v>460000</v>
      </c>
    </row>
    <row r="38" spans="1:13" ht="24.75" thickBot="1" x14ac:dyDescent="0.25">
      <c r="A38" s="858"/>
      <c r="B38" s="862"/>
      <c r="C38" s="259" t="s">
        <v>47</v>
      </c>
      <c r="D38" s="658" t="s">
        <v>732</v>
      </c>
      <c r="E38" s="659" t="s">
        <v>746</v>
      </c>
      <c r="F38" s="657" t="s">
        <v>504</v>
      </c>
      <c r="G38" s="259" t="s">
        <v>380</v>
      </c>
      <c r="H38" s="616" t="s">
        <v>745</v>
      </c>
      <c r="J38" s="680" t="s">
        <v>776</v>
      </c>
      <c r="K38" s="695">
        <v>500000</v>
      </c>
    </row>
    <row r="39" spans="1:13" ht="19.5" customHeight="1" thickBot="1" x14ac:dyDescent="0.25">
      <c r="A39" s="318" t="s">
        <v>82</v>
      </c>
      <c r="B39" s="344" t="s">
        <v>83</v>
      </c>
      <c r="C39" s="344">
        <v>0</v>
      </c>
      <c r="D39" s="344">
        <v>0</v>
      </c>
      <c r="E39" s="344">
        <v>69008</v>
      </c>
      <c r="F39" s="344">
        <f>SUM(H39-D39)</f>
        <v>69008</v>
      </c>
      <c r="G39" s="358">
        <v>0</v>
      </c>
      <c r="H39" s="345">
        <v>69008</v>
      </c>
      <c r="K39" s="695"/>
      <c r="L39" s="697">
        <f>SUM(L34:L37)</f>
        <v>259940</v>
      </c>
    </row>
    <row r="40" spans="1:13" ht="19.5" customHeight="1" thickBot="1" x14ac:dyDescent="0.25">
      <c r="A40" s="863" t="s">
        <v>117</v>
      </c>
      <c r="B40" s="863"/>
      <c r="C40" s="540">
        <f t="shared" ref="C40:E40" si="3">SUM(C39)</f>
        <v>0</v>
      </c>
      <c r="D40" s="540">
        <f t="shared" si="3"/>
        <v>0</v>
      </c>
      <c r="E40" s="540">
        <f t="shared" si="3"/>
        <v>69008</v>
      </c>
      <c r="F40" s="540">
        <f>SUM(F39)</f>
        <v>69008</v>
      </c>
      <c r="G40" s="541">
        <v>0</v>
      </c>
      <c r="H40" s="542">
        <f>SUM(H39)</f>
        <v>69008</v>
      </c>
      <c r="J40" s="680" t="s">
        <v>648</v>
      </c>
      <c r="K40" s="695">
        <v>60000</v>
      </c>
    </row>
    <row r="41" spans="1:13" ht="24" customHeight="1" thickBot="1" x14ac:dyDescent="0.25">
      <c r="A41" s="857" t="s">
        <v>279</v>
      </c>
      <c r="B41" s="857"/>
      <c r="C41" s="857"/>
      <c r="D41" s="857"/>
      <c r="E41" s="857"/>
      <c r="F41" s="857"/>
      <c r="G41" s="857"/>
      <c r="H41" s="857"/>
      <c r="J41" s="680" t="s">
        <v>649</v>
      </c>
      <c r="K41" s="695">
        <v>50000</v>
      </c>
    </row>
    <row r="42" spans="1:13" ht="17.25" customHeight="1" thickBot="1" x14ac:dyDescent="0.25">
      <c r="A42" s="858" t="s">
        <v>45</v>
      </c>
      <c r="B42" s="862" t="s">
        <v>46</v>
      </c>
      <c r="C42" s="868">
        <v>2023</v>
      </c>
      <c r="D42" s="869"/>
      <c r="E42" s="869"/>
      <c r="F42" s="869"/>
      <c r="G42" s="869"/>
      <c r="H42" s="870"/>
      <c r="J42" s="678"/>
      <c r="K42" s="678"/>
    </row>
    <row r="43" spans="1:13" ht="26.25" customHeight="1" thickBot="1" x14ac:dyDescent="0.25">
      <c r="A43" s="858"/>
      <c r="B43" s="862"/>
      <c r="C43" s="259" t="s">
        <v>47</v>
      </c>
      <c r="D43" s="658" t="s">
        <v>732</v>
      </c>
      <c r="E43" s="659" t="s">
        <v>746</v>
      </c>
      <c r="F43" s="657" t="s">
        <v>504</v>
      </c>
      <c r="G43" s="259" t="s">
        <v>380</v>
      </c>
      <c r="H43" s="616" t="s">
        <v>745</v>
      </c>
      <c r="J43" s="678"/>
      <c r="K43" s="678"/>
    </row>
    <row r="44" spans="1:13" ht="16.5" customHeight="1" x14ac:dyDescent="0.2">
      <c r="A44" s="318" t="s">
        <v>82</v>
      </c>
      <c r="B44" s="344" t="s">
        <v>513</v>
      </c>
      <c r="C44" s="344">
        <v>1400000</v>
      </c>
      <c r="D44" s="344">
        <v>1400000</v>
      </c>
      <c r="E44" s="344">
        <v>983738</v>
      </c>
      <c r="F44" s="344">
        <f>H44-C44</f>
        <v>0</v>
      </c>
      <c r="G44" s="358">
        <f>H44/C44*100</f>
        <v>100</v>
      </c>
      <c r="H44" s="345">
        <v>1400000</v>
      </c>
      <c r="J44" s="678"/>
      <c r="K44" s="678"/>
    </row>
    <row r="45" spans="1:13" ht="16.5" customHeight="1" thickBot="1" x14ac:dyDescent="0.25">
      <c r="A45" s="87" t="s">
        <v>92</v>
      </c>
      <c r="B45" s="341" t="s">
        <v>514</v>
      </c>
      <c r="C45" s="341">
        <v>1260000</v>
      </c>
      <c r="D45" s="341">
        <v>1260000</v>
      </c>
      <c r="E45" s="341">
        <v>945000</v>
      </c>
      <c r="F45" s="660">
        <f>H45-C45</f>
        <v>0</v>
      </c>
      <c r="G45" s="513">
        <f>H45/C45*100</f>
        <v>100</v>
      </c>
      <c r="H45" s="343">
        <v>1260000</v>
      </c>
      <c r="J45" s="678"/>
      <c r="K45" s="678"/>
    </row>
    <row r="46" spans="1:13" ht="18" customHeight="1" thickBot="1" x14ac:dyDescent="0.25">
      <c r="A46" s="877" t="s">
        <v>117</v>
      </c>
      <c r="B46" s="877"/>
      <c r="C46" s="540">
        <f>C44+C45</f>
        <v>2660000</v>
      </c>
      <c r="D46" s="540">
        <f t="shared" ref="D46:E46" si="4">D44+D45</f>
        <v>2660000</v>
      </c>
      <c r="E46" s="540">
        <f t="shared" si="4"/>
        <v>1928738</v>
      </c>
      <c r="F46" s="540">
        <f>SUM(F44:F45)</f>
        <v>0</v>
      </c>
      <c r="G46" s="541">
        <f>G44</f>
        <v>100</v>
      </c>
      <c r="H46" s="542">
        <f>SUM(H44:H45)</f>
        <v>2660000</v>
      </c>
      <c r="J46" s="678"/>
      <c r="K46" s="678"/>
    </row>
    <row r="47" spans="1:13" ht="24" customHeight="1" thickBot="1" x14ac:dyDescent="0.25">
      <c r="A47" s="857" t="s">
        <v>119</v>
      </c>
      <c r="B47" s="857"/>
      <c r="C47" s="857"/>
      <c r="D47" s="857"/>
      <c r="E47" s="857"/>
      <c r="F47" s="857"/>
      <c r="G47" s="857"/>
      <c r="H47" s="857"/>
      <c r="J47" s="680" t="s">
        <v>650</v>
      </c>
      <c r="K47" s="698">
        <v>15000</v>
      </c>
    </row>
    <row r="48" spans="1:13" ht="15.75" customHeight="1" thickBot="1" x14ac:dyDescent="0.25">
      <c r="A48" s="858" t="s">
        <v>45</v>
      </c>
      <c r="B48" s="862" t="s">
        <v>46</v>
      </c>
      <c r="C48" s="868">
        <v>2023</v>
      </c>
      <c r="D48" s="869"/>
      <c r="E48" s="869"/>
      <c r="F48" s="869"/>
      <c r="G48" s="869"/>
      <c r="H48" s="870"/>
      <c r="K48" s="694">
        <f>SUM(K39:K47)</f>
        <v>125000</v>
      </c>
      <c r="L48" s="697">
        <f>SUM(K48*12)</f>
        <v>1500000</v>
      </c>
    </row>
    <row r="49" spans="1:12" ht="27.75" customHeight="1" thickBot="1" x14ac:dyDescent="0.25">
      <c r="A49" s="858"/>
      <c r="B49" s="862"/>
      <c r="C49" s="259" t="s">
        <v>47</v>
      </c>
      <c r="D49" s="658" t="s">
        <v>732</v>
      </c>
      <c r="E49" s="659" t="s">
        <v>746</v>
      </c>
      <c r="F49" s="657" t="s">
        <v>504</v>
      </c>
      <c r="G49" s="259" t="s">
        <v>380</v>
      </c>
      <c r="H49" s="616" t="s">
        <v>745</v>
      </c>
    </row>
    <row r="50" spans="1:12" ht="27" customHeight="1" x14ac:dyDescent="0.2">
      <c r="A50" s="532" t="s">
        <v>48</v>
      </c>
      <c r="B50" s="533" t="s">
        <v>49</v>
      </c>
      <c r="C50" s="699">
        <f>SUM(C51:C59)</f>
        <v>103972296</v>
      </c>
      <c r="D50" s="699">
        <f>SUM(D51:D60)</f>
        <v>108350376</v>
      </c>
      <c r="E50" s="699">
        <v>82346290</v>
      </c>
      <c r="F50" s="700">
        <f t="shared" ref="F50:F74" si="5">H50-D50</f>
        <v>0</v>
      </c>
      <c r="G50" s="701">
        <f>H50/D50*100</f>
        <v>100</v>
      </c>
      <c r="H50" s="702">
        <f>SUM(H51:H60)</f>
        <v>108350376</v>
      </c>
      <c r="J50" s="680" t="s">
        <v>652</v>
      </c>
      <c r="K50" s="695">
        <v>45000</v>
      </c>
    </row>
    <row r="51" spans="1:12" ht="27" customHeight="1" x14ac:dyDescent="0.2">
      <c r="A51" s="346" t="s">
        <v>48</v>
      </c>
      <c r="B51" s="78" t="s">
        <v>464</v>
      </c>
      <c r="C51" s="703">
        <v>72147110</v>
      </c>
      <c r="D51" s="703">
        <v>72147110</v>
      </c>
      <c r="E51" s="703"/>
      <c r="F51" s="704">
        <f t="shared" si="5"/>
        <v>0</v>
      </c>
      <c r="G51" s="705"/>
      <c r="H51" s="706">
        <v>72147110</v>
      </c>
      <c r="J51" s="680" t="s">
        <v>651</v>
      </c>
      <c r="K51" s="695">
        <v>30000</v>
      </c>
    </row>
    <row r="52" spans="1:12" ht="27" customHeight="1" x14ac:dyDescent="0.2">
      <c r="A52" s="85" t="s">
        <v>48</v>
      </c>
      <c r="B52" s="78" t="s">
        <v>120</v>
      </c>
      <c r="C52" s="707">
        <v>4446000</v>
      </c>
      <c r="D52" s="707">
        <v>4446000</v>
      </c>
      <c r="E52" s="707"/>
      <c r="F52" s="704">
        <f t="shared" si="5"/>
        <v>0</v>
      </c>
      <c r="G52" s="705"/>
      <c r="H52" s="708">
        <v>4446000</v>
      </c>
      <c r="J52" s="680" t="s">
        <v>653</v>
      </c>
      <c r="K52" s="698">
        <v>30000</v>
      </c>
      <c r="L52" s="697">
        <f>SUM(K53*12)</f>
        <v>1260000</v>
      </c>
    </row>
    <row r="53" spans="1:12" ht="20.100000000000001" customHeight="1" x14ac:dyDescent="0.2">
      <c r="A53" s="85" t="s">
        <v>48</v>
      </c>
      <c r="B53" s="78" t="s">
        <v>121</v>
      </c>
      <c r="C53" s="707">
        <v>5527500</v>
      </c>
      <c r="D53" s="707">
        <v>5527500</v>
      </c>
      <c r="E53" s="707"/>
      <c r="F53" s="704">
        <f t="shared" si="5"/>
        <v>0</v>
      </c>
      <c r="G53" s="705"/>
      <c r="H53" s="708">
        <v>5527500</v>
      </c>
      <c r="K53" s="694">
        <f>SUM(K50:K52)</f>
        <v>105000</v>
      </c>
    </row>
    <row r="54" spans="1:12" ht="20.100000000000001" customHeight="1" x14ac:dyDescent="0.2">
      <c r="A54" s="85" t="s">
        <v>48</v>
      </c>
      <c r="B54" s="78" t="s">
        <v>122</v>
      </c>
      <c r="C54" s="707">
        <v>885615</v>
      </c>
      <c r="D54" s="707">
        <v>885615</v>
      </c>
      <c r="E54" s="707"/>
      <c r="F54" s="704">
        <f t="shared" si="5"/>
        <v>0</v>
      </c>
      <c r="G54" s="705"/>
      <c r="H54" s="708">
        <v>885615</v>
      </c>
    </row>
    <row r="55" spans="1:12" ht="20.100000000000001" customHeight="1" x14ac:dyDescent="0.2">
      <c r="A55" s="85" t="s">
        <v>48</v>
      </c>
      <c r="B55" s="78" t="s">
        <v>123</v>
      </c>
      <c r="C55" s="707">
        <v>4539360</v>
      </c>
      <c r="D55" s="707">
        <v>4539360</v>
      </c>
      <c r="E55" s="707"/>
      <c r="F55" s="704">
        <f t="shared" si="5"/>
        <v>0</v>
      </c>
      <c r="G55" s="705"/>
      <c r="H55" s="708">
        <v>4539360</v>
      </c>
    </row>
    <row r="56" spans="1:12" ht="20.100000000000001" customHeight="1" x14ac:dyDescent="0.2">
      <c r="A56" s="85" t="s">
        <v>48</v>
      </c>
      <c r="B56" s="78" t="s">
        <v>538</v>
      </c>
      <c r="C56" s="707">
        <v>8500000</v>
      </c>
      <c r="D56" s="707">
        <v>8500000</v>
      </c>
      <c r="E56" s="707"/>
      <c r="F56" s="704">
        <f t="shared" si="5"/>
        <v>0</v>
      </c>
      <c r="G56" s="705"/>
      <c r="H56" s="708">
        <v>8500000</v>
      </c>
    </row>
    <row r="57" spans="1:12" ht="20.100000000000001" customHeight="1" x14ac:dyDescent="0.2">
      <c r="A57" s="85" t="s">
        <v>48</v>
      </c>
      <c r="B57" s="78" t="s">
        <v>539</v>
      </c>
      <c r="C57" s="707">
        <v>86700</v>
      </c>
      <c r="D57" s="707">
        <v>86700</v>
      </c>
      <c r="E57" s="707"/>
      <c r="F57" s="704">
        <f t="shared" si="5"/>
        <v>0</v>
      </c>
      <c r="G57" s="705"/>
      <c r="H57" s="708">
        <v>86700</v>
      </c>
    </row>
    <row r="58" spans="1:12" ht="20.100000000000001" customHeight="1" x14ac:dyDescent="0.2">
      <c r="A58" s="85" t="s">
        <v>48</v>
      </c>
      <c r="B58" s="78" t="s">
        <v>124</v>
      </c>
      <c r="C58" s="707">
        <v>3610011</v>
      </c>
      <c r="D58" s="707">
        <v>3610011</v>
      </c>
      <c r="E58" s="707"/>
      <c r="F58" s="704">
        <f t="shared" si="5"/>
        <v>0</v>
      </c>
      <c r="G58" s="705"/>
      <c r="H58" s="708">
        <v>3610011</v>
      </c>
    </row>
    <row r="59" spans="1:12" ht="20.100000000000001" customHeight="1" x14ac:dyDescent="0.2">
      <c r="A59" s="85" t="s">
        <v>48</v>
      </c>
      <c r="B59" s="78" t="s">
        <v>678</v>
      </c>
      <c r="C59" s="707">
        <v>4230000</v>
      </c>
      <c r="D59" s="707">
        <v>4230000</v>
      </c>
      <c r="E59" s="707"/>
      <c r="F59" s="704">
        <f t="shared" si="5"/>
        <v>0</v>
      </c>
      <c r="G59" s="709"/>
      <c r="H59" s="708">
        <v>4230000</v>
      </c>
    </row>
    <row r="60" spans="1:12" ht="20.100000000000001" customHeight="1" x14ac:dyDescent="0.2">
      <c r="A60" s="85" t="s">
        <v>48</v>
      </c>
      <c r="B60" s="78" t="s">
        <v>733</v>
      </c>
      <c r="C60" s="707">
        <v>0</v>
      </c>
      <c r="D60" s="707">
        <v>4378080</v>
      </c>
      <c r="E60" s="707"/>
      <c r="F60" s="704">
        <f t="shared" si="5"/>
        <v>0</v>
      </c>
      <c r="G60" s="710"/>
      <c r="H60" s="708">
        <v>4378080</v>
      </c>
    </row>
    <row r="61" spans="1:12" ht="27" customHeight="1" x14ac:dyDescent="0.2">
      <c r="A61" s="534" t="s">
        <v>50</v>
      </c>
      <c r="B61" s="535" t="s">
        <v>125</v>
      </c>
      <c r="C61" s="711">
        <f>SUM(C62:C67)</f>
        <v>77081860</v>
      </c>
      <c r="D61" s="711">
        <f>SUM(D62:D68)</f>
        <v>83832616</v>
      </c>
      <c r="E61" s="711">
        <v>64043666</v>
      </c>
      <c r="F61" s="700">
        <f t="shared" si="5"/>
        <v>-286017</v>
      </c>
      <c r="G61" s="712">
        <f>H61/D61*100</f>
        <v>99.658823720829616</v>
      </c>
      <c r="H61" s="713">
        <f>SUM(H62:H68)</f>
        <v>83546599</v>
      </c>
    </row>
    <row r="62" spans="1:12" ht="20.100000000000001" customHeight="1" x14ac:dyDescent="0.2">
      <c r="A62" s="85" t="s">
        <v>50</v>
      </c>
      <c r="B62" s="78" t="s">
        <v>608</v>
      </c>
      <c r="C62" s="707">
        <v>10140000</v>
      </c>
      <c r="D62" s="707">
        <v>9711000</v>
      </c>
      <c r="E62" s="707"/>
      <c r="F62" s="704">
        <f t="shared" si="5"/>
        <v>0</v>
      </c>
      <c r="G62" s="705"/>
      <c r="H62" s="708">
        <v>9711000</v>
      </c>
    </row>
    <row r="63" spans="1:12" ht="20.100000000000001" customHeight="1" x14ac:dyDescent="0.2">
      <c r="A63" s="85" t="s">
        <v>50</v>
      </c>
      <c r="B63" s="78" t="s">
        <v>679</v>
      </c>
      <c r="C63" s="707">
        <v>5360000</v>
      </c>
      <c r="D63" s="707">
        <v>5360000</v>
      </c>
      <c r="E63" s="707"/>
      <c r="F63" s="704">
        <f t="shared" si="5"/>
        <v>-90000</v>
      </c>
      <c r="G63" s="705"/>
      <c r="H63" s="708">
        <v>5270000</v>
      </c>
    </row>
    <row r="64" spans="1:12" ht="20.100000000000001" customHeight="1" x14ac:dyDescent="0.2">
      <c r="A64" s="85" t="s">
        <v>50</v>
      </c>
      <c r="B64" s="78" t="s">
        <v>609</v>
      </c>
      <c r="C64" s="707">
        <v>38945460</v>
      </c>
      <c r="D64" s="707">
        <v>37366590</v>
      </c>
      <c r="E64" s="707"/>
      <c r="F64" s="704">
        <f t="shared" si="5"/>
        <v>0</v>
      </c>
      <c r="G64" s="705"/>
      <c r="H64" s="708">
        <v>37366590</v>
      </c>
    </row>
    <row r="65" spans="1:8" ht="20.100000000000001" customHeight="1" x14ac:dyDescent="0.2">
      <c r="A65" s="85" t="s">
        <v>50</v>
      </c>
      <c r="B65" s="78" t="s">
        <v>743</v>
      </c>
      <c r="C65" s="707">
        <v>0</v>
      </c>
      <c r="D65" s="707">
        <v>428720</v>
      </c>
      <c r="E65" s="707"/>
      <c r="F65" s="704">
        <f t="shared" si="5"/>
        <v>0</v>
      </c>
      <c r="G65" s="705"/>
      <c r="H65" s="708">
        <v>428720</v>
      </c>
    </row>
    <row r="66" spans="1:8" ht="20.100000000000001" customHeight="1" x14ac:dyDescent="0.2">
      <c r="A66" s="85" t="s">
        <v>50</v>
      </c>
      <c r="B66" s="78" t="s">
        <v>611</v>
      </c>
      <c r="C66" s="707">
        <v>3246400</v>
      </c>
      <c r="D66" s="707">
        <v>3002920</v>
      </c>
      <c r="E66" s="707"/>
      <c r="F66" s="704">
        <f t="shared" si="5"/>
        <v>0</v>
      </c>
      <c r="G66" s="705"/>
      <c r="H66" s="708">
        <v>3002920</v>
      </c>
    </row>
    <row r="67" spans="1:8" ht="20.100000000000001" customHeight="1" x14ac:dyDescent="0.2">
      <c r="A67" s="85" t="s">
        <v>50</v>
      </c>
      <c r="B67" s="78" t="s">
        <v>610</v>
      </c>
      <c r="C67" s="707">
        <v>19390000</v>
      </c>
      <c r="D67" s="707">
        <v>19390000</v>
      </c>
      <c r="E67" s="707"/>
      <c r="F67" s="704">
        <f t="shared" si="5"/>
        <v>0</v>
      </c>
      <c r="G67" s="714"/>
      <c r="H67" s="708">
        <v>19390000</v>
      </c>
    </row>
    <row r="68" spans="1:8" ht="20.100000000000001" customHeight="1" x14ac:dyDescent="0.2">
      <c r="A68" s="85" t="s">
        <v>50</v>
      </c>
      <c r="B68" s="78" t="s">
        <v>733</v>
      </c>
      <c r="C68" s="707">
        <v>0</v>
      </c>
      <c r="D68" s="707">
        <v>8573386</v>
      </c>
      <c r="E68" s="707"/>
      <c r="F68" s="704">
        <f t="shared" si="5"/>
        <v>-196017</v>
      </c>
      <c r="G68" s="714"/>
      <c r="H68" s="708">
        <v>8377369</v>
      </c>
    </row>
    <row r="69" spans="1:8" ht="34.5" customHeight="1" x14ac:dyDescent="0.2">
      <c r="A69" s="536" t="s">
        <v>52</v>
      </c>
      <c r="B69" s="537" t="s">
        <v>614</v>
      </c>
      <c r="C69" s="715">
        <f>SUM(C70:C73)</f>
        <v>30113100</v>
      </c>
      <c r="D69" s="715">
        <f>SUM(D70:D75)</f>
        <v>33405900</v>
      </c>
      <c r="E69" s="715">
        <v>25485101</v>
      </c>
      <c r="F69" s="716">
        <f t="shared" si="5"/>
        <v>-68408</v>
      </c>
      <c r="G69" s="717">
        <f>H69/D69*100</f>
        <v>99.795221802136751</v>
      </c>
      <c r="H69" s="718">
        <f>SUM(H70:H75)</f>
        <v>33337492</v>
      </c>
    </row>
    <row r="70" spans="1:8" ht="20.100000000000001" customHeight="1" x14ac:dyDescent="0.2">
      <c r="A70" s="86" t="s">
        <v>52</v>
      </c>
      <c r="B70" s="78" t="s">
        <v>126</v>
      </c>
      <c r="C70" s="354">
        <v>7997000</v>
      </c>
      <c r="D70" s="354">
        <v>7997000</v>
      </c>
      <c r="E70" s="354"/>
      <c r="F70" s="704">
        <f t="shared" si="5"/>
        <v>0</v>
      </c>
      <c r="G70" s="719"/>
      <c r="H70" s="708">
        <v>7997000</v>
      </c>
    </row>
    <row r="71" spans="1:8" ht="20.100000000000001" customHeight="1" x14ac:dyDescent="0.2">
      <c r="A71" s="86" t="s">
        <v>52</v>
      </c>
      <c r="B71" s="78" t="s">
        <v>129</v>
      </c>
      <c r="C71" s="354"/>
      <c r="D71" s="354"/>
      <c r="E71" s="354"/>
      <c r="F71" s="704">
        <f t="shared" si="5"/>
        <v>0</v>
      </c>
      <c r="G71" s="719"/>
      <c r="H71" s="708"/>
    </row>
    <row r="72" spans="1:8" ht="20.100000000000001" customHeight="1" x14ac:dyDescent="0.2">
      <c r="A72" s="86" t="s">
        <v>52</v>
      </c>
      <c r="B72" s="78" t="s">
        <v>465</v>
      </c>
      <c r="C72" s="354">
        <v>21812000</v>
      </c>
      <c r="D72" s="354">
        <v>21812000</v>
      </c>
      <c r="E72" s="354"/>
      <c r="F72" s="704">
        <f t="shared" si="5"/>
        <v>0</v>
      </c>
      <c r="G72" s="719"/>
      <c r="H72" s="708">
        <v>21812000</v>
      </c>
    </row>
    <row r="73" spans="1:8" ht="20.100000000000001" customHeight="1" x14ac:dyDescent="0.2">
      <c r="A73" s="86" t="s">
        <v>52</v>
      </c>
      <c r="B73" s="78" t="s">
        <v>506</v>
      </c>
      <c r="C73" s="354">
        <v>304100</v>
      </c>
      <c r="D73" s="354">
        <v>304100</v>
      </c>
      <c r="E73" s="354"/>
      <c r="F73" s="704">
        <f t="shared" si="5"/>
        <v>-304100</v>
      </c>
      <c r="G73" s="719"/>
      <c r="H73" s="708">
        <v>0</v>
      </c>
    </row>
    <row r="74" spans="1:8" ht="20.100000000000001" customHeight="1" x14ac:dyDescent="0.2">
      <c r="A74" s="85" t="s">
        <v>52</v>
      </c>
      <c r="B74" s="78" t="s">
        <v>733</v>
      </c>
      <c r="C74" s="354">
        <v>0</v>
      </c>
      <c r="D74" s="354">
        <v>3292800</v>
      </c>
      <c r="E74" s="354"/>
      <c r="F74" s="704">
        <f t="shared" si="5"/>
        <v>0</v>
      </c>
      <c r="G74" s="720"/>
      <c r="H74" s="708">
        <v>3292800</v>
      </c>
    </row>
    <row r="75" spans="1:8" ht="20.100000000000001" customHeight="1" x14ac:dyDescent="0.2">
      <c r="A75" s="85" t="s">
        <v>52</v>
      </c>
      <c r="B75" s="78" t="s">
        <v>778</v>
      </c>
      <c r="C75" s="354"/>
      <c r="D75" s="354"/>
      <c r="E75" s="354"/>
      <c r="F75" s="704"/>
      <c r="G75" s="720"/>
      <c r="H75" s="708">
        <v>235692</v>
      </c>
    </row>
    <row r="76" spans="1:8" ht="34.5" customHeight="1" x14ac:dyDescent="0.2">
      <c r="A76" s="538" t="s">
        <v>612</v>
      </c>
      <c r="B76" s="537" t="s">
        <v>613</v>
      </c>
      <c r="C76" s="715">
        <f>SUM(C77:C79)</f>
        <v>26804634</v>
      </c>
      <c r="D76" s="715">
        <f>SUM(D77:D80)</f>
        <v>27904212</v>
      </c>
      <c r="E76" s="715">
        <v>21173636</v>
      </c>
      <c r="F76" s="721">
        <f>H76-D76</f>
        <v>-193504</v>
      </c>
      <c r="G76" s="717">
        <f>H76/D76*100</f>
        <v>99.306541965779218</v>
      </c>
      <c r="H76" s="718">
        <f>SUM(H77:H80)</f>
        <v>27710708</v>
      </c>
    </row>
    <row r="77" spans="1:8" ht="24" customHeight="1" x14ac:dyDescent="0.2">
      <c r="A77" s="85" t="s">
        <v>612</v>
      </c>
      <c r="B77" s="78" t="s">
        <v>127</v>
      </c>
      <c r="C77" s="354">
        <v>13906545</v>
      </c>
      <c r="D77" s="354">
        <v>13663518</v>
      </c>
      <c r="E77" s="354"/>
      <c r="F77" s="704">
        <f>H77-D77</f>
        <v>0</v>
      </c>
      <c r="G77" s="722"/>
      <c r="H77" s="708">
        <v>13663518</v>
      </c>
    </row>
    <row r="78" spans="1:8" ht="20.100000000000001" customHeight="1" x14ac:dyDescent="0.2">
      <c r="A78" s="85" t="s">
        <v>612</v>
      </c>
      <c r="B78" s="78" t="s">
        <v>128</v>
      </c>
      <c r="C78" s="354">
        <v>12898089</v>
      </c>
      <c r="D78" s="354">
        <v>12898089</v>
      </c>
      <c r="E78" s="354"/>
      <c r="F78" s="704">
        <f>H78-D78</f>
        <v>-170041</v>
      </c>
      <c r="G78" s="722"/>
      <c r="H78" s="708">
        <v>12728048</v>
      </c>
    </row>
    <row r="79" spans="1:8" ht="20.100000000000001" customHeight="1" x14ac:dyDescent="0.2">
      <c r="A79" s="85" t="s">
        <v>612</v>
      </c>
      <c r="B79" s="78" t="s">
        <v>615</v>
      </c>
      <c r="C79" s="354"/>
      <c r="D79" s="354"/>
      <c r="E79" s="354"/>
      <c r="F79" s="704">
        <f>H79-D79</f>
        <v>0</v>
      </c>
      <c r="G79" s="722"/>
      <c r="H79" s="708"/>
    </row>
    <row r="80" spans="1:8" ht="20.100000000000001" customHeight="1" x14ac:dyDescent="0.2">
      <c r="A80" s="85" t="s">
        <v>612</v>
      </c>
      <c r="B80" s="78" t="s">
        <v>733</v>
      </c>
      <c r="C80" s="653">
        <v>0</v>
      </c>
      <c r="D80" s="653">
        <v>1342605</v>
      </c>
      <c r="E80" s="653"/>
      <c r="F80" s="704">
        <f>H80-D80</f>
        <v>-23463</v>
      </c>
      <c r="G80" s="722"/>
      <c r="H80" s="706">
        <v>1319142</v>
      </c>
    </row>
    <row r="81" spans="1:13" ht="27.75" customHeight="1" x14ac:dyDescent="0.2">
      <c r="A81" s="539" t="s">
        <v>54</v>
      </c>
      <c r="B81" s="533" t="s">
        <v>55</v>
      </c>
      <c r="C81" s="699">
        <f>SUM(C82)</f>
        <v>5800273</v>
      </c>
      <c r="D81" s="699">
        <f>SUM(D82:D84)</f>
        <v>6294273</v>
      </c>
      <c r="E81" s="699">
        <v>5997645</v>
      </c>
      <c r="F81" s="700">
        <f>SUM(H81-D81)</f>
        <v>1597368</v>
      </c>
      <c r="G81" s="701">
        <f>H81/D81*100</f>
        <v>125.37811753636996</v>
      </c>
      <c r="H81" s="702">
        <f>SUM(H82:H84)</f>
        <v>7891641</v>
      </c>
      <c r="M81" s="680"/>
    </row>
    <row r="82" spans="1:13" ht="27.75" customHeight="1" x14ac:dyDescent="0.2">
      <c r="A82" s="99" t="s">
        <v>54</v>
      </c>
      <c r="B82" s="77" t="s">
        <v>376</v>
      </c>
      <c r="C82" s="305">
        <v>5800273</v>
      </c>
      <c r="D82" s="305">
        <v>5800273</v>
      </c>
      <c r="E82" s="305">
        <v>4447729</v>
      </c>
      <c r="F82" s="723">
        <f>H82-D82</f>
        <v>0</v>
      </c>
      <c r="G82" s="724">
        <f>SUM(H82/D82*100)</f>
        <v>100</v>
      </c>
      <c r="H82" s="725">
        <v>5800273</v>
      </c>
      <c r="M82" s="680"/>
    </row>
    <row r="83" spans="1:13" ht="27.75" customHeight="1" x14ac:dyDescent="0.2">
      <c r="A83" s="99" t="s">
        <v>54</v>
      </c>
      <c r="B83" s="77" t="s">
        <v>781</v>
      </c>
      <c r="C83" s="652">
        <v>0</v>
      </c>
      <c r="D83" s="652">
        <v>0</v>
      </c>
      <c r="E83" s="652">
        <v>1213996</v>
      </c>
      <c r="F83" s="723">
        <f>H83-D83</f>
        <v>1597368</v>
      </c>
      <c r="G83" s="724"/>
      <c r="H83" s="727">
        <v>1597368</v>
      </c>
      <c r="M83" s="680"/>
    </row>
    <row r="84" spans="1:13" ht="21.75" customHeight="1" x14ac:dyDescent="0.2">
      <c r="A84" s="85" t="s">
        <v>54</v>
      </c>
      <c r="B84" s="78" t="s">
        <v>733</v>
      </c>
      <c r="C84" s="652">
        <v>0</v>
      </c>
      <c r="D84" s="652">
        <v>494000</v>
      </c>
      <c r="E84" s="652">
        <v>335920</v>
      </c>
      <c r="F84" s="723">
        <f>H84-D84</f>
        <v>0</v>
      </c>
      <c r="G84" s="724">
        <f>SUM(H84/D84*100)</f>
        <v>100</v>
      </c>
      <c r="H84" s="727">
        <v>494000</v>
      </c>
      <c r="M84" s="680"/>
    </row>
    <row r="85" spans="1:13" ht="27.75" customHeight="1" x14ac:dyDescent="0.2">
      <c r="A85" s="539" t="s">
        <v>56</v>
      </c>
      <c r="B85" s="533" t="s">
        <v>57</v>
      </c>
      <c r="C85" s="699">
        <f>SUM(C86:C86)</f>
        <v>0</v>
      </c>
      <c r="D85" s="699">
        <f>SUM(D86:D86)</f>
        <v>0</v>
      </c>
      <c r="E85" s="699">
        <v>1706880</v>
      </c>
      <c r="F85" s="700">
        <f>H85-D85</f>
        <v>1706880</v>
      </c>
      <c r="G85" s="701">
        <v>0</v>
      </c>
      <c r="H85" s="702">
        <f>SUM(H86:H86)</f>
        <v>1706880</v>
      </c>
      <c r="M85" s="680"/>
    </row>
    <row r="86" spans="1:13" x14ac:dyDescent="0.2">
      <c r="A86" s="76" t="s">
        <v>56</v>
      </c>
      <c r="B86" s="77" t="s">
        <v>756</v>
      </c>
      <c r="C86" s="305"/>
      <c r="D86" s="305"/>
      <c r="E86" s="305"/>
      <c r="F86" s="723">
        <f>H86-D86</f>
        <v>1706880</v>
      </c>
      <c r="G86" s="724">
        <v>0</v>
      </c>
      <c r="H86" s="725">
        <v>1706880</v>
      </c>
      <c r="J86" s="729"/>
    </row>
    <row r="87" spans="1:13" ht="27.75" customHeight="1" x14ac:dyDescent="0.2">
      <c r="A87" s="532" t="s">
        <v>466</v>
      </c>
      <c r="B87" s="533" t="s">
        <v>735</v>
      </c>
      <c r="C87" s="699">
        <f>SUM(C88)</f>
        <v>242630</v>
      </c>
      <c r="D87" s="699">
        <f>SUM(D88)</f>
        <v>268106</v>
      </c>
      <c r="E87" s="699">
        <v>268106</v>
      </c>
      <c r="F87" s="699">
        <f>SUM(F88)</f>
        <v>0</v>
      </c>
      <c r="G87" s="730">
        <f>SUM(G88)</f>
        <v>100</v>
      </c>
      <c r="H87" s="702">
        <f>SUM(H88)</f>
        <v>268106</v>
      </c>
      <c r="M87" s="680"/>
    </row>
    <row r="88" spans="1:13" x14ac:dyDescent="0.2">
      <c r="A88" s="79" t="s">
        <v>466</v>
      </c>
      <c r="B88" s="80" t="s">
        <v>711</v>
      </c>
      <c r="C88" s="357">
        <v>242630</v>
      </c>
      <c r="D88" s="357">
        <v>268106</v>
      </c>
      <c r="E88" s="357">
        <v>268106</v>
      </c>
      <c r="F88" s="723">
        <f>H88-D88</f>
        <v>0</v>
      </c>
      <c r="G88" s="726">
        <f>SUM(H88/D88*100)</f>
        <v>100</v>
      </c>
      <c r="H88" s="728">
        <v>268106</v>
      </c>
    </row>
    <row r="89" spans="1:13" ht="26.25" customHeight="1" x14ac:dyDescent="0.2">
      <c r="A89" s="79" t="s">
        <v>60</v>
      </c>
      <c r="B89" s="80" t="s">
        <v>529</v>
      </c>
      <c r="C89" s="357"/>
      <c r="D89" s="357"/>
      <c r="E89" s="357"/>
      <c r="F89" s="723">
        <f>H89-C89</f>
        <v>0</v>
      </c>
      <c r="G89" s="726"/>
      <c r="H89" s="728"/>
      <c r="I89" s="731"/>
    </row>
    <row r="90" spans="1:13" ht="26.25" customHeight="1" x14ac:dyDescent="0.2">
      <c r="A90" s="79" t="s">
        <v>63</v>
      </c>
      <c r="B90" s="80" t="s">
        <v>515</v>
      </c>
      <c r="C90" s="357"/>
      <c r="D90" s="357"/>
      <c r="E90" s="357"/>
      <c r="F90" s="723">
        <f>H90-C90</f>
        <v>0</v>
      </c>
      <c r="G90" s="726"/>
      <c r="H90" s="728"/>
      <c r="L90" s="696"/>
    </row>
    <row r="91" spans="1:13" ht="26.25" customHeight="1" thickBot="1" x14ac:dyDescent="0.25">
      <c r="A91" s="89" t="s">
        <v>377</v>
      </c>
      <c r="B91" s="294" t="s">
        <v>378</v>
      </c>
      <c r="C91" s="732"/>
      <c r="D91" s="733"/>
      <c r="E91" s="733"/>
      <c r="F91" s="723">
        <f>H91-C91</f>
        <v>0</v>
      </c>
      <c r="G91" s="726"/>
      <c r="H91" s="734"/>
    </row>
    <row r="92" spans="1:13" ht="23.25" customHeight="1" thickBot="1" x14ac:dyDescent="0.25">
      <c r="A92" s="863" t="s">
        <v>117</v>
      </c>
      <c r="B92" s="863"/>
      <c r="C92" s="549">
        <f>SUM(C50+C61+C69+C81+C85+C89+C90+C91+C76+C87)</f>
        <v>244014793</v>
      </c>
      <c r="D92" s="549">
        <f>SUM(D50+D61+D69+D81+D85+D89+D90+D91+D76+D87)</f>
        <v>260055483</v>
      </c>
      <c r="E92" s="549">
        <f>SUM(E50+E61+E69+E81+E85+E89+E90+E91+E76+E87)</f>
        <v>201021324</v>
      </c>
      <c r="F92" s="549">
        <f>SUM(F50+F61+F69+F76+F81+F85+F89+F90+F91+F87)</f>
        <v>2756319</v>
      </c>
      <c r="G92" s="735">
        <f>H92/D92*100</f>
        <v>101.05989651446802</v>
      </c>
      <c r="H92" s="736">
        <f>H50+H61+H69+H81+H85+H89+H90+H91+H76+H87</f>
        <v>262811802</v>
      </c>
    </row>
    <row r="93" spans="1:13" ht="23.25" customHeight="1" thickBot="1" x14ac:dyDescent="0.25">
      <c r="A93" s="857" t="s">
        <v>130</v>
      </c>
      <c r="B93" s="857"/>
      <c r="C93" s="857"/>
      <c r="D93" s="857"/>
      <c r="E93" s="857"/>
      <c r="F93" s="857"/>
      <c r="G93" s="857"/>
      <c r="H93" s="857"/>
    </row>
    <row r="94" spans="1:13" ht="17.25" customHeight="1" thickBot="1" x14ac:dyDescent="0.25">
      <c r="A94" s="858" t="s">
        <v>45</v>
      </c>
      <c r="B94" s="862" t="s">
        <v>46</v>
      </c>
      <c r="C94" s="868">
        <v>2023</v>
      </c>
      <c r="D94" s="869"/>
      <c r="E94" s="869"/>
      <c r="F94" s="869"/>
      <c r="G94" s="869"/>
      <c r="H94" s="870"/>
    </row>
    <row r="95" spans="1:13" ht="27.75" customHeight="1" thickBot="1" x14ac:dyDescent="0.25">
      <c r="A95" s="858"/>
      <c r="B95" s="862"/>
      <c r="C95" s="259" t="s">
        <v>47</v>
      </c>
      <c r="D95" s="658" t="s">
        <v>732</v>
      </c>
      <c r="E95" s="659" t="s">
        <v>746</v>
      </c>
      <c r="F95" s="657" t="s">
        <v>504</v>
      </c>
      <c r="G95" s="259" t="s">
        <v>380</v>
      </c>
      <c r="H95" s="616" t="s">
        <v>745</v>
      </c>
    </row>
    <row r="96" spans="1:13" ht="23.25" customHeight="1" x14ac:dyDescent="0.2">
      <c r="A96" s="76" t="s">
        <v>56</v>
      </c>
      <c r="B96" s="77" t="s">
        <v>57</v>
      </c>
      <c r="C96" s="77"/>
      <c r="D96" s="77"/>
      <c r="E96" s="77"/>
      <c r="F96" s="91"/>
      <c r="G96" s="91"/>
      <c r="H96" s="92"/>
    </row>
    <row r="97" spans="1:13" ht="24" customHeight="1" thickBot="1" x14ac:dyDescent="0.25">
      <c r="A97" s="88" t="s">
        <v>107</v>
      </c>
      <c r="B97" s="80" t="s">
        <v>108</v>
      </c>
      <c r="C97" s="83">
        <v>330961145</v>
      </c>
      <c r="D97" s="83">
        <v>330961145</v>
      </c>
      <c r="E97" s="83">
        <v>330961145</v>
      </c>
      <c r="F97" s="93">
        <f>H97-C97</f>
        <v>0</v>
      </c>
      <c r="G97" s="278">
        <f>H97/C97*100</f>
        <v>100</v>
      </c>
      <c r="H97" s="94">
        <v>330961145</v>
      </c>
      <c r="I97" s="683"/>
      <c r="K97" s="695"/>
    </row>
    <row r="98" spans="1:13" ht="18.75" customHeight="1" thickBot="1" x14ac:dyDescent="0.25">
      <c r="A98" s="863" t="s">
        <v>117</v>
      </c>
      <c r="B98" s="863"/>
      <c r="C98" s="540">
        <f>C97</f>
        <v>330961145</v>
      </c>
      <c r="D98" s="540">
        <f t="shared" ref="D98:E98" si="6">D97</f>
        <v>330961145</v>
      </c>
      <c r="E98" s="540">
        <f t="shared" si="6"/>
        <v>330961145</v>
      </c>
      <c r="F98" s="540">
        <f>F97</f>
        <v>0</v>
      </c>
      <c r="G98" s="541">
        <f>G97</f>
        <v>100</v>
      </c>
      <c r="H98" s="542">
        <f>SUM(H96:H97)</f>
        <v>330961145</v>
      </c>
    </row>
    <row r="99" spans="1:13" ht="21" customHeight="1" thickBot="1" x14ac:dyDescent="0.25">
      <c r="A99" s="857" t="s">
        <v>381</v>
      </c>
      <c r="B99" s="857"/>
      <c r="C99" s="857"/>
      <c r="D99" s="857"/>
      <c r="E99" s="857"/>
      <c r="F99" s="857"/>
      <c r="G99" s="857"/>
      <c r="H99" s="857"/>
    </row>
    <row r="100" spans="1:13" ht="17.25" customHeight="1" thickBot="1" x14ac:dyDescent="0.25">
      <c r="A100" s="858" t="s">
        <v>45</v>
      </c>
      <c r="B100" s="862" t="s">
        <v>46</v>
      </c>
      <c r="C100" s="868">
        <v>2023</v>
      </c>
      <c r="D100" s="869"/>
      <c r="E100" s="869"/>
      <c r="F100" s="869"/>
      <c r="G100" s="869"/>
      <c r="H100" s="870"/>
    </row>
    <row r="101" spans="1:13" ht="24.75" customHeight="1" thickBot="1" x14ac:dyDescent="0.25">
      <c r="A101" s="858"/>
      <c r="B101" s="862"/>
      <c r="C101" s="259" t="s">
        <v>47</v>
      </c>
      <c r="D101" s="658" t="s">
        <v>732</v>
      </c>
      <c r="E101" s="659" t="s">
        <v>746</v>
      </c>
      <c r="F101" s="657" t="s">
        <v>504</v>
      </c>
      <c r="G101" s="259" t="s">
        <v>380</v>
      </c>
      <c r="H101" s="616" t="s">
        <v>745</v>
      </c>
    </row>
    <row r="102" spans="1:13" ht="25.5" customHeight="1" thickBot="1" x14ac:dyDescent="0.25">
      <c r="A102" s="88" t="s">
        <v>60</v>
      </c>
      <c r="B102" s="618" t="s">
        <v>61</v>
      </c>
      <c r="C102" s="619">
        <v>3000000</v>
      </c>
      <c r="D102" s="656">
        <v>3000000</v>
      </c>
      <c r="E102" s="656">
        <v>1833130</v>
      </c>
      <c r="F102" s="363">
        <f>H102-C102</f>
        <v>0</v>
      </c>
      <c r="G102" s="191">
        <f>H102/C102*100</f>
        <v>100</v>
      </c>
      <c r="H102" s="95">
        <v>3000000</v>
      </c>
      <c r="I102" s="693"/>
      <c r="M102" s="696"/>
    </row>
    <row r="103" spans="1:13" ht="18.75" customHeight="1" thickBot="1" x14ac:dyDescent="0.25">
      <c r="A103" s="878" t="s">
        <v>117</v>
      </c>
      <c r="B103" s="878"/>
      <c r="C103" s="543">
        <f>C102</f>
        <v>3000000</v>
      </c>
      <c r="D103" s="543">
        <f t="shared" ref="D103:E103" si="7">D102</f>
        <v>3000000</v>
      </c>
      <c r="E103" s="543">
        <f t="shared" si="7"/>
        <v>1833130</v>
      </c>
      <c r="F103" s="543">
        <f>SUM(F102)</f>
        <v>0</v>
      </c>
      <c r="G103" s="544">
        <f>SUM(G102)</f>
        <v>100</v>
      </c>
      <c r="H103" s="545">
        <f>H102</f>
        <v>3000000</v>
      </c>
      <c r="M103" s="696"/>
    </row>
    <row r="104" spans="1:13" ht="18.75" hidden="1" customHeight="1" thickBot="1" x14ac:dyDescent="0.25">
      <c r="A104" s="857" t="s">
        <v>412</v>
      </c>
      <c r="B104" s="857"/>
      <c r="C104" s="857"/>
      <c r="D104" s="857"/>
      <c r="E104" s="857"/>
      <c r="F104" s="857"/>
      <c r="G104" s="857"/>
      <c r="H104" s="857"/>
      <c r="M104" s="696"/>
    </row>
    <row r="105" spans="1:13" ht="18.75" hidden="1" customHeight="1" thickBot="1" x14ac:dyDescent="0.25">
      <c r="A105" s="858" t="s">
        <v>45</v>
      </c>
      <c r="B105" s="862" t="s">
        <v>46</v>
      </c>
      <c r="C105" s="880">
        <v>2021</v>
      </c>
      <c r="D105" s="881"/>
      <c r="E105" s="881"/>
      <c r="F105" s="882"/>
      <c r="G105" s="883"/>
      <c r="H105" s="879" t="s">
        <v>607</v>
      </c>
      <c r="M105" s="696"/>
    </row>
    <row r="106" spans="1:13" ht="18.75" hidden="1" customHeight="1" thickBot="1" x14ac:dyDescent="0.25">
      <c r="A106" s="858"/>
      <c r="B106" s="862"/>
      <c r="C106" s="259" t="s">
        <v>47</v>
      </c>
      <c r="D106" s="259"/>
      <c r="E106" s="259"/>
      <c r="F106" s="259" t="s">
        <v>504</v>
      </c>
      <c r="G106" s="259" t="s">
        <v>380</v>
      </c>
      <c r="H106" s="879"/>
      <c r="M106" s="696"/>
    </row>
    <row r="107" spans="1:13" ht="24.75" hidden="1" customHeight="1" thickBot="1" x14ac:dyDescent="0.25">
      <c r="A107" s="88" t="s">
        <v>60</v>
      </c>
      <c r="B107" s="80" t="s">
        <v>61</v>
      </c>
      <c r="C107" s="80">
        <v>0</v>
      </c>
      <c r="D107" s="80"/>
      <c r="E107" s="80"/>
      <c r="F107" s="83">
        <f>H107-C107</f>
        <v>0</v>
      </c>
      <c r="G107" s="191"/>
      <c r="H107" s="95">
        <v>0</v>
      </c>
      <c r="M107" s="696"/>
    </row>
    <row r="108" spans="1:13" ht="18.75" hidden="1" customHeight="1" thickBot="1" x14ac:dyDescent="0.25">
      <c r="A108" s="878" t="s">
        <v>117</v>
      </c>
      <c r="B108" s="878"/>
      <c r="C108" s="543">
        <f>C107</f>
        <v>0</v>
      </c>
      <c r="D108" s="543"/>
      <c r="E108" s="543"/>
      <c r="F108" s="543">
        <f>SUM(F107)</f>
        <v>0</v>
      </c>
      <c r="G108" s="544">
        <f>SUM(G107)</f>
        <v>0</v>
      </c>
      <c r="H108" s="545">
        <f>H107</f>
        <v>0</v>
      </c>
      <c r="M108" s="696"/>
    </row>
    <row r="109" spans="1:13" ht="24" customHeight="1" thickBot="1" x14ac:dyDescent="0.25">
      <c r="A109" s="857" t="s">
        <v>131</v>
      </c>
      <c r="B109" s="857"/>
      <c r="C109" s="857"/>
      <c r="D109" s="857"/>
      <c r="E109" s="857"/>
      <c r="F109" s="857"/>
      <c r="G109" s="857"/>
      <c r="H109" s="857"/>
    </row>
    <row r="110" spans="1:13" ht="17.25" customHeight="1" thickBot="1" x14ac:dyDescent="0.25">
      <c r="A110" s="858" t="s">
        <v>45</v>
      </c>
      <c r="B110" s="862" t="s">
        <v>46</v>
      </c>
      <c r="C110" s="868">
        <v>2023</v>
      </c>
      <c r="D110" s="869"/>
      <c r="E110" s="869"/>
      <c r="F110" s="869"/>
      <c r="G110" s="869"/>
      <c r="H110" s="870"/>
    </row>
    <row r="111" spans="1:13" ht="26.25" customHeight="1" thickBot="1" x14ac:dyDescent="0.25">
      <c r="A111" s="858"/>
      <c r="B111" s="862"/>
      <c r="C111" s="259" t="s">
        <v>47</v>
      </c>
      <c r="D111" s="658" t="s">
        <v>732</v>
      </c>
      <c r="E111" s="659" t="s">
        <v>746</v>
      </c>
      <c r="F111" s="657" t="s">
        <v>504</v>
      </c>
      <c r="G111" s="259" t="s">
        <v>380</v>
      </c>
      <c r="H111" s="616" t="s">
        <v>745</v>
      </c>
    </row>
    <row r="112" spans="1:13" ht="16.5" customHeight="1" x14ac:dyDescent="0.2">
      <c r="A112" s="76" t="s">
        <v>82</v>
      </c>
      <c r="B112" s="77" t="s">
        <v>83</v>
      </c>
      <c r="C112" s="305">
        <v>6000000</v>
      </c>
      <c r="D112" s="305">
        <v>8859550</v>
      </c>
      <c r="E112" s="305">
        <v>8859550</v>
      </c>
      <c r="F112" s="91">
        <f>H112-D112</f>
        <v>0</v>
      </c>
      <c r="G112" s="162">
        <f>H112/C112*100</f>
        <v>147.65916666666666</v>
      </c>
      <c r="H112" s="92">
        <v>8859550</v>
      </c>
    </row>
    <row r="113" spans="1:8" ht="18" customHeight="1" thickBot="1" x14ac:dyDescent="0.25">
      <c r="A113" s="88" t="s">
        <v>86</v>
      </c>
      <c r="B113" s="80" t="s">
        <v>87</v>
      </c>
      <c r="C113" s="357">
        <v>1620000</v>
      </c>
      <c r="D113" s="357">
        <v>2392079</v>
      </c>
      <c r="E113" s="357">
        <v>2392079</v>
      </c>
      <c r="F113" s="91">
        <f>H113-D113</f>
        <v>0</v>
      </c>
      <c r="G113" s="162">
        <f>H113/C113*100</f>
        <v>147.65919753086422</v>
      </c>
      <c r="H113" s="84">
        <v>2392079</v>
      </c>
    </row>
    <row r="114" spans="1:8" ht="18.75" customHeight="1" thickBot="1" x14ac:dyDescent="0.25">
      <c r="A114" s="878" t="s">
        <v>117</v>
      </c>
      <c r="B114" s="878"/>
      <c r="C114" s="546">
        <f>SUM(C112:C113)</f>
        <v>7620000</v>
      </c>
      <c r="D114" s="546">
        <f t="shared" ref="D114:E114" si="8">SUM(D112:D113)</f>
        <v>11251629</v>
      </c>
      <c r="E114" s="546">
        <f t="shared" si="8"/>
        <v>11251629</v>
      </c>
      <c r="F114" s="543">
        <f>SUM(F112:F113)</f>
        <v>0</v>
      </c>
      <c r="G114" s="544">
        <f>H114/C114*100</f>
        <v>147.65917322834645</v>
      </c>
      <c r="H114" s="547">
        <f>SUM(H112:H113)</f>
        <v>11251629</v>
      </c>
    </row>
    <row r="115" spans="1:8" ht="18.75" customHeight="1" thickBot="1" x14ac:dyDescent="0.25">
      <c r="A115" s="859" t="s">
        <v>496</v>
      </c>
      <c r="B115" s="860"/>
      <c r="C115" s="860"/>
      <c r="D115" s="860"/>
      <c r="E115" s="860"/>
      <c r="F115" s="860"/>
      <c r="G115" s="860"/>
      <c r="H115" s="861"/>
    </row>
    <row r="116" spans="1:8" ht="18.75" customHeight="1" thickBot="1" x14ac:dyDescent="0.25">
      <c r="A116" s="858" t="s">
        <v>45</v>
      </c>
      <c r="B116" s="862" t="s">
        <v>46</v>
      </c>
      <c r="C116" s="868">
        <v>2023</v>
      </c>
      <c r="D116" s="869"/>
      <c r="E116" s="869"/>
      <c r="F116" s="869"/>
      <c r="G116" s="869"/>
      <c r="H116" s="870"/>
    </row>
    <row r="117" spans="1:8" ht="24.75" thickBot="1" x14ac:dyDescent="0.25">
      <c r="A117" s="858"/>
      <c r="B117" s="862"/>
      <c r="C117" s="259" t="s">
        <v>47</v>
      </c>
      <c r="D117" s="658" t="s">
        <v>732</v>
      </c>
      <c r="E117" s="659" t="s">
        <v>746</v>
      </c>
      <c r="F117" s="657" t="s">
        <v>504</v>
      </c>
      <c r="G117" s="259" t="s">
        <v>380</v>
      </c>
      <c r="H117" s="616" t="s">
        <v>745</v>
      </c>
    </row>
    <row r="118" spans="1:8" ht="26.25" customHeight="1" thickBot="1" x14ac:dyDescent="0.25">
      <c r="A118" s="79" t="s">
        <v>60</v>
      </c>
      <c r="B118" s="80" t="s">
        <v>502</v>
      </c>
      <c r="C118" s="477">
        <v>0</v>
      </c>
      <c r="D118" s="477"/>
      <c r="E118" s="477"/>
      <c r="F118" s="83">
        <f>H118-C118</f>
        <v>0</v>
      </c>
      <c r="G118" s="191"/>
      <c r="H118" s="84">
        <v>0</v>
      </c>
    </row>
    <row r="119" spans="1:8" ht="18.75" customHeight="1" thickBot="1" x14ac:dyDescent="0.25">
      <c r="A119" s="863" t="s">
        <v>117</v>
      </c>
      <c r="B119" s="863"/>
      <c r="C119" s="548">
        <v>0</v>
      </c>
      <c r="D119" s="548"/>
      <c r="E119" s="548"/>
      <c r="F119" s="540">
        <f>SUM(F118)</f>
        <v>0</v>
      </c>
      <c r="G119" s="541"/>
      <c r="H119" s="542">
        <f>SUM(H118)</f>
        <v>0</v>
      </c>
    </row>
    <row r="120" spans="1:8" ht="18.75" customHeight="1" thickBot="1" x14ac:dyDescent="0.25">
      <c r="A120" s="864" t="s">
        <v>471</v>
      </c>
      <c r="B120" s="865"/>
      <c r="C120" s="865"/>
      <c r="D120" s="865"/>
      <c r="E120" s="865"/>
      <c r="F120" s="865"/>
      <c r="G120" s="865"/>
      <c r="H120" s="866"/>
    </row>
    <row r="121" spans="1:8" ht="18.75" customHeight="1" thickBot="1" x14ac:dyDescent="0.25">
      <c r="A121" s="858" t="s">
        <v>45</v>
      </c>
      <c r="B121" s="862" t="s">
        <v>46</v>
      </c>
      <c r="C121" s="868">
        <v>2023</v>
      </c>
      <c r="D121" s="869"/>
      <c r="E121" s="869"/>
      <c r="F121" s="869"/>
      <c r="G121" s="869"/>
      <c r="H121" s="870"/>
    </row>
    <row r="122" spans="1:8" ht="24.75" thickBot="1" x14ac:dyDescent="0.25">
      <c r="A122" s="858"/>
      <c r="B122" s="862"/>
      <c r="C122" s="259" t="s">
        <v>47</v>
      </c>
      <c r="D122" s="658" t="s">
        <v>732</v>
      </c>
      <c r="E122" s="659" t="s">
        <v>746</v>
      </c>
      <c r="F122" s="657" t="s">
        <v>504</v>
      </c>
      <c r="G122" s="259" t="s">
        <v>380</v>
      </c>
      <c r="H122" s="616" t="s">
        <v>745</v>
      </c>
    </row>
    <row r="123" spans="1:8" ht="24.75" customHeight="1" x14ac:dyDescent="0.2">
      <c r="A123" s="318" t="s">
        <v>60</v>
      </c>
      <c r="B123" s="316" t="s">
        <v>589</v>
      </c>
      <c r="C123" s="344">
        <v>0</v>
      </c>
      <c r="D123" s="344">
        <v>466985</v>
      </c>
      <c r="E123" s="344">
        <v>466985</v>
      </c>
      <c r="F123" s="344">
        <f>H123-D123</f>
        <v>0</v>
      </c>
      <c r="G123" s="595">
        <v>0</v>
      </c>
      <c r="H123" s="345">
        <v>466985</v>
      </c>
    </row>
    <row r="124" spans="1:8" ht="24.75" customHeight="1" thickBot="1" x14ac:dyDescent="0.25">
      <c r="A124" s="87" t="s">
        <v>752</v>
      </c>
      <c r="B124" s="369" t="s">
        <v>753</v>
      </c>
      <c r="C124" s="342">
        <v>0</v>
      </c>
      <c r="D124" s="342">
        <v>0</v>
      </c>
      <c r="E124" s="342">
        <v>5500022</v>
      </c>
      <c r="F124" s="123">
        <f>H124-C124</f>
        <v>5500022</v>
      </c>
      <c r="G124" s="599">
        <v>0</v>
      </c>
      <c r="H124" s="343">
        <v>5500022</v>
      </c>
    </row>
    <row r="125" spans="1:8" ht="18.75" customHeight="1" thickBot="1" x14ac:dyDescent="0.25">
      <c r="A125" s="863" t="s">
        <v>117</v>
      </c>
      <c r="B125" s="863"/>
      <c r="C125" s="540">
        <f>SUM(C123)</f>
        <v>0</v>
      </c>
      <c r="D125" s="540">
        <f t="shared" ref="D125:E125" si="9">SUM(D123:D124)</f>
        <v>466985</v>
      </c>
      <c r="E125" s="540">
        <f t="shared" si="9"/>
        <v>5967007</v>
      </c>
      <c r="F125" s="540">
        <f>SUM(F123:F124)</f>
        <v>5500022</v>
      </c>
      <c r="G125" s="541">
        <f>SUM(G123)</f>
        <v>0</v>
      </c>
      <c r="H125" s="542">
        <f>SUM(H123:H124)</f>
        <v>5967007</v>
      </c>
    </row>
    <row r="126" spans="1:8" ht="25.5" customHeight="1" thickBot="1" x14ac:dyDescent="0.25">
      <c r="A126" s="864" t="s">
        <v>132</v>
      </c>
      <c r="B126" s="865"/>
      <c r="C126" s="865"/>
      <c r="D126" s="865"/>
      <c r="E126" s="865"/>
      <c r="F126" s="865"/>
      <c r="G126" s="865"/>
      <c r="H126" s="866"/>
    </row>
    <row r="127" spans="1:8" ht="18.75" customHeight="1" thickBot="1" x14ac:dyDescent="0.25">
      <c r="A127" s="858" t="s">
        <v>45</v>
      </c>
      <c r="B127" s="862" t="s">
        <v>46</v>
      </c>
      <c r="C127" s="868">
        <v>2023</v>
      </c>
      <c r="D127" s="869"/>
      <c r="E127" s="869"/>
      <c r="F127" s="869"/>
      <c r="G127" s="869"/>
      <c r="H127" s="870"/>
    </row>
    <row r="128" spans="1:8" ht="26.25" customHeight="1" thickBot="1" x14ac:dyDescent="0.25">
      <c r="A128" s="858"/>
      <c r="B128" s="862"/>
      <c r="C128" s="259" t="s">
        <v>47</v>
      </c>
      <c r="D128" s="658" t="s">
        <v>732</v>
      </c>
      <c r="E128" s="659" t="s">
        <v>746</v>
      </c>
      <c r="F128" s="657" t="s">
        <v>504</v>
      </c>
      <c r="G128" s="259" t="s">
        <v>380</v>
      </c>
      <c r="H128" s="616" t="s">
        <v>745</v>
      </c>
    </row>
    <row r="129" spans="1:12" ht="27" customHeight="1" x14ac:dyDescent="0.2">
      <c r="A129" s="617" t="s">
        <v>60</v>
      </c>
      <c r="B129" s="316" t="s">
        <v>133</v>
      </c>
      <c r="C129" s="677">
        <v>4936200</v>
      </c>
      <c r="D129" s="677">
        <v>4884000</v>
      </c>
      <c r="E129" s="677">
        <v>5226100</v>
      </c>
      <c r="F129" s="344">
        <f>H129-D129</f>
        <v>342100</v>
      </c>
      <c r="G129" s="595">
        <f>H129/D129*100</f>
        <v>107.0045045045045</v>
      </c>
      <c r="H129" s="345">
        <v>5226100</v>
      </c>
      <c r="L129" s="696"/>
    </row>
    <row r="130" spans="1:12" ht="27" customHeight="1" thickBot="1" x14ac:dyDescent="0.25">
      <c r="A130" s="87" t="s">
        <v>754</v>
      </c>
      <c r="B130" s="369" t="s">
        <v>755</v>
      </c>
      <c r="C130" s="676">
        <v>0</v>
      </c>
      <c r="D130" s="341">
        <v>0</v>
      </c>
      <c r="E130" s="341">
        <v>0</v>
      </c>
      <c r="F130" s="551">
        <f>H130-D130</f>
        <v>200000</v>
      </c>
      <c r="G130" s="599">
        <v>0</v>
      </c>
      <c r="H130" s="343">
        <v>200000</v>
      </c>
      <c r="L130" s="696"/>
    </row>
    <row r="131" spans="1:12" ht="18" customHeight="1" thickBot="1" x14ac:dyDescent="0.25">
      <c r="A131" s="863" t="s">
        <v>117</v>
      </c>
      <c r="B131" s="863"/>
      <c r="C131" s="540">
        <f t="shared" ref="C131:E131" si="10">SUM(C129:C130)</f>
        <v>4936200</v>
      </c>
      <c r="D131" s="540">
        <f t="shared" si="10"/>
        <v>4884000</v>
      </c>
      <c r="E131" s="540">
        <f t="shared" si="10"/>
        <v>5226100</v>
      </c>
      <c r="F131" s="540">
        <f>SUM(F129:F130)</f>
        <v>542100</v>
      </c>
      <c r="G131" s="541">
        <f>SUM(G129)</f>
        <v>107.0045045045045</v>
      </c>
      <c r="H131" s="542">
        <f>SUM(H129:H130)</f>
        <v>5426100</v>
      </c>
    </row>
    <row r="132" spans="1:12" ht="18" customHeight="1" thickBot="1" x14ac:dyDescent="0.25">
      <c r="A132" s="864" t="s">
        <v>736</v>
      </c>
      <c r="B132" s="865"/>
      <c r="C132" s="865"/>
      <c r="D132" s="865"/>
      <c r="E132" s="865"/>
      <c r="F132" s="865"/>
      <c r="G132" s="865"/>
      <c r="H132" s="866"/>
    </row>
    <row r="133" spans="1:12" ht="18" customHeight="1" thickBot="1" x14ac:dyDescent="0.25">
      <c r="A133" s="858" t="s">
        <v>45</v>
      </c>
      <c r="B133" s="862" t="s">
        <v>46</v>
      </c>
      <c r="C133" s="868">
        <v>2023</v>
      </c>
      <c r="D133" s="869"/>
      <c r="E133" s="869"/>
      <c r="F133" s="869"/>
      <c r="G133" s="869"/>
      <c r="H133" s="870"/>
    </row>
    <row r="134" spans="1:12" ht="24.75" thickBot="1" x14ac:dyDescent="0.25">
      <c r="A134" s="858"/>
      <c r="B134" s="862"/>
      <c r="C134" s="259" t="s">
        <v>47</v>
      </c>
      <c r="D134" s="658" t="s">
        <v>732</v>
      </c>
      <c r="E134" s="659" t="s">
        <v>746</v>
      </c>
      <c r="F134" s="657" t="s">
        <v>504</v>
      </c>
      <c r="G134" s="259" t="s">
        <v>380</v>
      </c>
      <c r="H134" s="616" t="s">
        <v>745</v>
      </c>
    </row>
    <row r="135" spans="1:12" ht="21.75" thickBot="1" x14ac:dyDescent="0.25">
      <c r="A135" s="88" t="s">
        <v>60</v>
      </c>
      <c r="B135" s="80" t="s">
        <v>737</v>
      </c>
      <c r="C135" s="591">
        <v>0</v>
      </c>
      <c r="D135" s="341">
        <v>104400</v>
      </c>
      <c r="E135" s="341">
        <v>78300</v>
      </c>
      <c r="F135" s="363">
        <f>H135-D135</f>
        <v>0</v>
      </c>
      <c r="G135" s="191">
        <v>0</v>
      </c>
      <c r="H135" s="84">
        <v>104400</v>
      </c>
    </row>
    <row r="136" spans="1:12" ht="18" customHeight="1" thickBot="1" x14ac:dyDescent="0.25">
      <c r="A136" s="863" t="s">
        <v>117</v>
      </c>
      <c r="B136" s="863"/>
      <c r="C136" s="549">
        <f>SUM(C135)</f>
        <v>0</v>
      </c>
      <c r="D136" s="549">
        <f t="shared" ref="D136:E136" si="11">SUM(D135)</f>
        <v>104400</v>
      </c>
      <c r="E136" s="549">
        <f t="shared" si="11"/>
        <v>78300</v>
      </c>
      <c r="F136" s="540">
        <f>SUM(F135)</f>
        <v>0</v>
      </c>
      <c r="G136" s="541">
        <f>SUM(G135)</f>
        <v>0</v>
      </c>
      <c r="H136" s="542">
        <f>SUM(H135)</f>
        <v>104400</v>
      </c>
    </row>
    <row r="137" spans="1:12" ht="22.5" customHeight="1" thickBot="1" x14ac:dyDescent="0.25">
      <c r="A137" s="857" t="s">
        <v>427</v>
      </c>
      <c r="B137" s="857"/>
      <c r="C137" s="857"/>
      <c r="D137" s="857"/>
      <c r="E137" s="857"/>
      <c r="F137" s="857"/>
      <c r="G137" s="857"/>
      <c r="H137" s="857"/>
    </row>
    <row r="138" spans="1:12" ht="18" customHeight="1" thickBot="1" x14ac:dyDescent="0.25">
      <c r="A138" s="858" t="s">
        <v>45</v>
      </c>
      <c r="B138" s="862" t="s">
        <v>46</v>
      </c>
      <c r="C138" s="868">
        <v>2023</v>
      </c>
      <c r="D138" s="869"/>
      <c r="E138" s="869"/>
      <c r="F138" s="869"/>
      <c r="G138" s="869"/>
      <c r="H138" s="870"/>
    </row>
    <row r="139" spans="1:12" ht="26.25" customHeight="1" thickBot="1" x14ac:dyDescent="0.25">
      <c r="A139" s="858"/>
      <c r="B139" s="862"/>
      <c r="C139" s="259" t="s">
        <v>47</v>
      </c>
      <c r="D139" s="658" t="s">
        <v>732</v>
      </c>
      <c r="E139" s="659" t="s">
        <v>746</v>
      </c>
      <c r="F139" s="657" t="s">
        <v>504</v>
      </c>
      <c r="G139" s="259" t="s">
        <v>380</v>
      </c>
      <c r="H139" s="616" t="s">
        <v>745</v>
      </c>
    </row>
    <row r="140" spans="1:12" ht="32.25" thickBot="1" x14ac:dyDescent="0.25">
      <c r="A140" s="99" t="s">
        <v>472</v>
      </c>
      <c r="B140" s="77" t="s">
        <v>473</v>
      </c>
      <c r="C140" s="352">
        <v>0</v>
      </c>
      <c r="D140" s="352"/>
      <c r="E140" s="352"/>
      <c r="F140" s="91">
        <f>H140-C140</f>
        <v>0</v>
      </c>
      <c r="G140" s="162">
        <v>0</v>
      </c>
      <c r="H140" s="92">
        <v>0</v>
      </c>
    </row>
    <row r="141" spans="1:12" ht="18.75" customHeight="1" thickBot="1" x14ac:dyDescent="0.25">
      <c r="A141" s="863" t="s">
        <v>117</v>
      </c>
      <c r="B141" s="863"/>
      <c r="C141" s="548">
        <v>0</v>
      </c>
      <c r="D141" s="548"/>
      <c r="E141" s="548"/>
      <c r="F141" s="540">
        <f>SUM(F140:F140)</f>
        <v>0</v>
      </c>
      <c r="G141" s="541"/>
      <c r="H141" s="542">
        <f>SUM(H140:H140)</f>
        <v>0</v>
      </c>
    </row>
    <row r="142" spans="1:12" ht="24" customHeight="1" thickBot="1" x14ac:dyDescent="0.25">
      <c r="A142" s="867" t="s">
        <v>134</v>
      </c>
      <c r="B142" s="867"/>
      <c r="C142" s="867"/>
      <c r="D142" s="867"/>
      <c r="E142" s="867"/>
      <c r="F142" s="867"/>
      <c r="G142" s="867"/>
      <c r="H142" s="867"/>
    </row>
    <row r="143" spans="1:12" ht="19.5" customHeight="1" thickBot="1" x14ac:dyDescent="0.25">
      <c r="A143" s="858" t="s">
        <v>45</v>
      </c>
      <c r="B143" s="862" t="s">
        <v>46</v>
      </c>
      <c r="C143" s="868">
        <v>2023</v>
      </c>
      <c r="D143" s="869"/>
      <c r="E143" s="869"/>
      <c r="F143" s="869"/>
      <c r="G143" s="869"/>
      <c r="H143" s="870"/>
    </row>
    <row r="144" spans="1:12" ht="24" customHeight="1" thickBot="1" x14ac:dyDescent="0.25">
      <c r="A144" s="858"/>
      <c r="B144" s="862"/>
      <c r="C144" s="259" t="s">
        <v>47</v>
      </c>
      <c r="D144" s="658" t="s">
        <v>732</v>
      </c>
      <c r="E144" s="659" t="s">
        <v>746</v>
      </c>
      <c r="F144" s="657" t="s">
        <v>504</v>
      </c>
      <c r="G144" s="259" t="s">
        <v>380</v>
      </c>
      <c r="H144" s="616" t="s">
        <v>745</v>
      </c>
    </row>
    <row r="145" spans="1:8" ht="12.75" customHeight="1" x14ac:dyDescent="0.2">
      <c r="A145" s="76" t="s">
        <v>84</v>
      </c>
      <c r="B145" s="77" t="s">
        <v>85</v>
      </c>
      <c r="C145" s="305">
        <v>4000000</v>
      </c>
      <c r="D145" s="305">
        <v>4000000</v>
      </c>
      <c r="E145" s="305">
        <v>3822520</v>
      </c>
      <c r="F145" s="91">
        <f>H145-D145</f>
        <v>800000</v>
      </c>
      <c r="G145" s="162">
        <f>H145/C145*100</f>
        <v>120</v>
      </c>
      <c r="H145" s="92">
        <v>4800000</v>
      </c>
    </row>
    <row r="146" spans="1:8" ht="12.75" customHeight="1" thickBot="1" x14ac:dyDescent="0.25">
      <c r="A146" s="88" t="s">
        <v>86</v>
      </c>
      <c r="B146" s="80" t="s">
        <v>87</v>
      </c>
      <c r="C146" s="357">
        <v>1080000</v>
      </c>
      <c r="D146" s="357">
        <v>1080000</v>
      </c>
      <c r="E146" s="357">
        <v>1032131</v>
      </c>
      <c r="F146" s="91">
        <f>H146-D146</f>
        <v>216000</v>
      </c>
      <c r="G146" s="162">
        <f>H146/C146*100</f>
        <v>120</v>
      </c>
      <c r="H146" s="84">
        <v>1296000</v>
      </c>
    </row>
    <row r="147" spans="1:8" ht="18" customHeight="1" thickBot="1" x14ac:dyDescent="0.25">
      <c r="A147" s="863" t="s">
        <v>117</v>
      </c>
      <c r="B147" s="863"/>
      <c r="C147" s="549">
        <f>SUM(C145:C146)</f>
        <v>5080000</v>
      </c>
      <c r="D147" s="549">
        <f t="shared" ref="D147:E147" si="12">SUM(D145:D146)</f>
        <v>5080000</v>
      </c>
      <c r="E147" s="549">
        <f t="shared" si="12"/>
        <v>4854651</v>
      </c>
      <c r="F147" s="540">
        <f>SUM(F145:F146)</f>
        <v>1016000</v>
      </c>
      <c r="G147" s="541">
        <f>H147/C147*100</f>
        <v>120</v>
      </c>
      <c r="H147" s="542">
        <f>SUM(H145:H146)</f>
        <v>6096000</v>
      </c>
    </row>
    <row r="148" spans="1:8" ht="18" customHeight="1" thickBot="1" x14ac:dyDescent="0.25">
      <c r="A148" s="867" t="s">
        <v>594</v>
      </c>
      <c r="B148" s="867"/>
      <c r="C148" s="867"/>
      <c r="D148" s="867"/>
      <c r="E148" s="867"/>
      <c r="F148" s="867"/>
      <c r="G148" s="867"/>
      <c r="H148" s="867"/>
    </row>
    <row r="149" spans="1:8" ht="18" customHeight="1" thickBot="1" x14ac:dyDescent="0.25">
      <c r="A149" s="858" t="s">
        <v>45</v>
      </c>
      <c r="B149" s="862" t="s">
        <v>46</v>
      </c>
      <c r="C149" s="868">
        <v>2023</v>
      </c>
      <c r="D149" s="869"/>
      <c r="E149" s="869"/>
      <c r="F149" s="869"/>
      <c r="G149" s="869"/>
      <c r="H149" s="870"/>
    </row>
    <row r="150" spans="1:8" ht="24.75" thickBot="1" x14ac:dyDescent="0.25">
      <c r="A150" s="858"/>
      <c r="B150" s="862"/>
      <c r="C150" s="259" t="s">
        <v>47</v>
      </c>
      <c r="D150" s="658" t="s">
        <v>732</v>
      </c>
      <c r="E150" s="659" t="s">
        <v>746</v>
      </c>
      <c r="F150" s="657" t="s">
        <v>504</v>
      </c>
      <c r="G150" s="259" t="s">
        <v>380</v>
      </c>
      <c r="H150" s="616" t="s">
        <v>745</v>
      </c>
    </row>
    <row r="151" spans="1:8" ht="18" customHeight="1" x14ac:dyDescent="0.2">
      <c r="A151" s="99" t="s">
        <v>702</v>
      </c>
      <c r="B151" s="77" t="s">
        <v>596</v>
      </c>
      <c r="C151" s="305">
        <v>258000</v>
      </c>
      <c r="D151" s="305">
        <v>258000</v>
      </c>
      <c r="E151" s="305">
        <v>258000</v>
      </c>
      <c r="F151" s="91">
        <f>SUM(H151-C151)</f>
        <v>0</v>
      </c>
      <c r="G151" s="162">
        <v>0</v>
      </c>
      <c r="H151" s="92">
        <v>258000</v>
      </c>
    </row>
    <row r="152" spans="1:8" ht="18" customHeight="1" thickBot="1" x14ac:dyDescent="0.25">
      <c r="A152" s="87" t="s">
        <v>86</v>
      </c>
      <c r="B152" s="369" t="s">
        <v>87</v>
      </c>
      <c r="C152" s="598">
        <v>69660</v>
      </c>
      <c r="D152" s="598">
        <v>69660</v>
      </c>
      <c r="E152" s="598">
        <v>69660</v>
      </c>
      <c r="F152" s="91">
        <f>SUM(H152-C152)</f>
        <v>0</v>
      </c>
      <c r="G152" s="599">
        <v>0</v>
      </c>
      <c r="H152" s="343">
        <v>69660</v>
      </c>
    </row>
    <row r="153" spans="1:8" ht="18" customHeight="1" thickBot="1" x14ac:dyDescent="0.25">
      <c r="A153" s="863" t="s">
        <v>117</v>
      </c>
      <c r="B153" s="863"/>
      <c r="C153" s="549">
        <f>SUM(C151:C152)</f>
        <v>327660</v>
      </c>
      <c r="D153" s="549">
        <f t="shared" ref="D153:E153" si="13">SUM(D151:D152)</f>
        <v>327660</v>
      </c>
      <c r="E153" s="549">
        <f t="shared" si="13"/>
        <v>327660</v>
      </c>
      <c r="F153" s="540">
        <f>SUM(F151:F152)</f>
        <v>0</v>
      </c>
      <c r="G153" s="541">
        <v>0</v>
      </c>
      <c r="H153" s="542">
        <f>SUM(H151:H152)</f>
        <v>327660</v>
      </c>
    </row>
    <row r="154" spans="1:8" ht="18" customHeight="1" thickBot="1" x14ac:dyDescent="0.25">
      <c r="A154" s="867" t="s">
        <v>474</v>
      </c>
      <c r="B154" s="867"/>
      <c r="C154" s="867"/>
      <c r="D154" s="867"/>
      <c r="E154" s="867"/>
      <c r="F154" s="867"/>
      <c r="G154" s="867"/>
      <c r="H154" s="867"/>
    </row>
    <row r="155" spans="1:8" ht="18" customHeight="1" thickBot="1" x14ac:dyDescent="0.25">
      <c r="A155" s="858" t="s">
        <v>45</v>
      </c>
      <c r="B155" s="862" t="s">
        <v>46</v>
      </c>
      <c r="C155" s="868">
        <v>2023</v>
      </c>
      <c r="D155" s="869"/>
      <c r="E155" s="869"/>
      <c r="F155" s="869"/>
      <c r="G155" s="869"/>
      <c r="H155" s="870"/>
    </row>
    <row r="156" spans="1:8" ht="24.75" thickBot="1" x14ac:dyDescent="0.25">
      <c r="A156" s="858"/>
      <c r="B156" s="862"/>
      <c r="C156" s="259" t="s">
        <v>47</v>
      </c>
      <c r="D156" s="658" t="s">
        <v>732</v>
      </c>
      <c r="E156" s="659" t="s">
        <v>746</v>
      </c>
      <c r="F156" s="657" t="s">
        <v>504</v>
      </c>
      <c r="G156" s="259" t="s">
        <v>380</v>
      </c>
      <c r="H156" s="616" t="s">
        <v>745</v>
      </c>
    </row>
    <row r="157" spans="1:8" ht="18" customHeight="1" thickBot="1" x14ac:dyDescent="0.25">
      <c r="A157" s="76" t="s">
        <v>84</v>
      </c>
      <c r="B157" s="77" t="s">
        <v>85</v>
      </c>
      <c r="C157" s="92">
        <v>0</v>
      </c>
      <c r="D157" s="651"/>
      <c r="E157" s="651"/>
      <c r="F157" s="91">
        <f>H157-C157</f>
        <v>0</v>
      </c>
      <c r="G157" s="162">
        <v>0</v>
      </c>
      <c r="H157" s="92">
        <v>0</v>
      </c>
    </row>
    <row r="158" spans="1:8" ht="18" customHeight="1" thickBot="1" x14ac:dyDescent="0.25">
      <c r="A158" s="863" t="s">
        <v>117</v>
      </c>
      <c r="B158" s="863"/>
      <c r="C158" s="549">
        <f>SUM(C157)</f>
        <v>0</v>
      </c>
      <c r="D158" s="549"/>
      <c r="E158" s="549"/>
      <c r="F158" s="540">
        <f>SUM(F157:F157)</f>
        <v>0</v>
      </c>
      <c r="G158" s="541">
        <v>0</v>
      </c>
      <c r="H158" s="542">
        <f>SUM(H157:H157)</f>
        <v>0</v>
      </c>
    </row>
    <row r="159" spans="1:8" ht="18" customHeight="1" thickBot="1" x14ac:dyDescent="0.25">
      <c r="A159" s="867" t="s">
        <v>447</v>
      </c>
      <c r="B159" s="867"/>
      <c r="C159" s="867"/>
      <c r="D159" s="867"/>
      <c r="E159" s="867"/>
      <c r="F159" s="867"/>
      <c r="G159" s="867"/>
      <c r="H159" s="867"/>
    </row>
    <row r="160" spans="1:8" ht="18" customHeight="1" thickBot="1" x14ac:dyDescent="0.25">
      <c r="A160" s="858" t="s">
        <v>45</v>
      </c>
      <c r="B160" s="862" t="s">
        <v>46</v>
      </c>
      <c r="C160" s="868">
        <v>2023</v>
      </c>
      <c r="D160" s="869"/>
      <c r="E160" s="869"/>
      <c r="F160" s="869"/>
      <c r="G160" s="869"/>
      <c r="H160" s="870"/>
    </row>
    <row r="161" spans="1:8" ht="24.75" thickBot="1" x14ac:dyDescent="0.25">
      <c r="A161" s="858"/>
      <c r="B161" s="862"/>
      <c r="C161" s="259" t="s">
        <v>47</v>
      </c>
      <c r="D161" s="658" t="s">
        <v>732</v>
      </c>
      <c r="E161" s="659" t="s">
        <v>746</v>
      </c>
      <c r="F161" s="657" t="s">
        <v>504</v>
      </c>
      <c r="G161" s="259" t="s">
        <v>380</v>
      </c>
      <c r="H161" s="616" t="s">
        <v>745</v>
      </c>
    </row>
    <row r="162" spans="1:8" ht="18" customHeight="1" x14ac:dyDescent="0.2">
      <c r="A162" s="76" t="s">
        <v>84</v>
      </c>
      <c r="B162" s="77" t="s">
        <v>85</v>
      </c>
      <c r="C162" s="91">
        <v>400000</v>
      </c>
      <c r="D162" s="91">
        <v>400000</v>
      </c>
      <c r="E162" s="91">
        <v>384720</v>
      </c>
      <c r="F162" s="91">
        <f>H162-D162</f>
        <v>40000</v>
      </c>
      <c r="G162" s="162">
        <f>H162/C162*100</f>
        <v>110.00000000000001</v>
      </c>
      <c r="H162" s="92">
        <v>440000</v>
      </c>
    </row>
    <row r="163" spans="1:8" ht="18" customHeight="1" thickBot="1" x14ac:dyDescent="0.25">
      <c r="A163" s="88" t="s">
        <v>86</v>
      </c>
      <c r="B163" s="80" t="s">
        <v>87</v>
      </c>
      <c r="C163" s="83">
        <v>108000</v>
      </c>
      <c r="D163" s="83">
        <v>108000</v>
      </c>
      <c r="E163" s="83">
        <v>103875</v>
      </c>
      <c r="F163" s="91">
        <f>H163-D163</f>
        <v>10800</v>
      </c>
      <c r="G163" s="162">
        <f>H163/C163*100</f>
        <v>110.00000000000001</v>
      </c>
      <c r="H163" s="84">
        <v>118800</v>
      </c>
    </row>
    <row r="164" spans="1:8" ht="18" customHeight="1" thickBot="1" x14ac:dyDescent="0.25">
      <c r="A164" s="863" t="s">
        <v>117</v>
      </c>
      <c r="B164" s="863"/>
      <c r="C164" s="540">
        <f>SUM(C162:C163)</f>
        <v>508000</v>
      </c>
      <c r="D164" s="540">
        <f t="shared" ref="D164:E164" si="14">SUM(D162:D163)</f>
        <v>508000</v>
      </c>
      <c r="E164" s="540">
        <f t="shared" si="14"/>
        <v>488595</v>
      </c>
      <c r="F164" s="540">
        <f>SUM(F162:F163)</f>
        <v>50800</v>
      </c>
      <c r="G164" s="541">
        <f>H164/C164*100</f>
        <v>110.00000000000001</v>
      </c>
      <c r="H164" s="542">
        <f>SUM(H162:H163)</f>
        <v>558800</v>
      </c>
    </row>
    <row r="165" spans="1:8" ht="25.5" customHeight="1" thickBot="1" x14ac:dyDescent="0.25">
      <c r="A165" s="872" t="s">
        <v>135</v>
      </c>
      <c r="B165" s="872"/>
      <c r="C165" s="872"/>
      <c r="D165" s="872"/>
      <c r="E165" s="872"/>
      <c r="F165" s="872"/>
      <c r="G165" s="872"/>
      <c r="H165" s="872"/>
    </row>
    <row r="166" spans="1:8" ht="15.75" customHeight="1" thickBot="1" x14ac:dyDescent="0.25">
      <c r="A166" s="858" t="s">
        <v>45</v>
      </c>
      <c r="B166" s="862" t="s">
        <v>46</v>
      </c>
      <c r="C166" s="868">
        <v>2023</v>
      </c>
      <c r="D166" s="869"/>
      <c r="E166" s="869"/>
      <c r="F166" s="869"/>
      <c r="G166" s="869"/>
      <c r="H166" s="870"/>
    </row>
    <row r="167" spans="1:8" ht="26.25" customHeight="1" thickBot="1" x14ac:dyDescent="0.25">
      <c r="A167" s="858"/>
      <c r="B167" s="862"/>
      <c r="C167" s="259" t="s">
        <v>47</v>
      </c>
      <c r="D167" s="658" t="s">
        <v>732</v>
      </c>
      <c r="E167" s="659" t="s">
        <v>746</v>
      </c>
      <c r="F167" s="657" t="s">
        <v>504</v>
      </c>
      <c r="G167" s="259" t="s">
        <v>380</v>
      </c>
      <c r="H167" s="616" t="s">
        <v>745</v>
      </c>
    </row>
    <row r="168" spans="1:8" ht="21" customHeight="1" x14ac:dyDescent="0.2">
      <c r="A168" s="76" t="s">
        <v>64</v>
      </c>
      <c r="B168" s="77" t="s">
        <v>65</v>
      </c>
      <c r="C168" s="305">
        <v>7000000</v>
      </c>
      <c r="D168" s="305">
        <v>7000000</v>
      </c>
      <c r="E168" s="305">
        <v>7774368</v>
      </c>
      <c r="F168" s="91">
        <f>H168-D168</f>
        <v>830000</v>
      </c>
      <c r="G168" s="162">
        <f>H168/D168*100</f>
        <v>111.85714285714286</v>
      </c>
      <c r="H168" s="92">
        <v>7830000</v>
      </c>
    </row>
    <row r="169" spans="1:8" ht="22.5" customHeight="1" x14ac:dyDescent="0.2">
      <c r="A169" s="76" t="s">
        <v>66</v>
      </c>
      <c r="B169" s="77" t="s">
        <v>67</v>
      </c>
      <c r="C169" s="305">
        <v>55000000</v>
      </c>
      <c r="D169" s="305">
        <v>55000000</v>
      </c>
      <c r="E169" s="305">
        <v>71058466</v>
      </c>
      <c r="F169" s="91">
        <f t="shared" ref="F169:F175" si="15">H169-D169</f>
        <v>26000000</v>
      </c>
      <c r="G169" s="162">
        <f>H169/D169*100</f>
        <v>147.27272727272725</v>
      </c>
      <c r="H169" s="98">
        <v>81000000</v>
      </c>
    </row>
    <row r="170" spans="1:8" ht="24.75" customHeight="1" x14ac:dyDescent="0.2">
      <c r="A170" s="76" t="s">
        <v>68</v>
      </c>
      <c r="B170" s="77" t="s">
        <v>69</v>
      </c>
      <c r="C170" s="305"/>
      <c r="D170" s="305"/>
      <c r="E170" s="305"/>
      <c r="F170" s="91">
        <f t="shared" si="15"/>
        <v>0</v>
      </c>
      <c r="G170" s="162">
        <v>0</v>
      </c>
      <c r="H170" s="92"/>
    </row>
    <row r="171" spans="1:8" ht="22.5" customHeight="1" x14ac:dyDescent="0.2">
      <c r="A171" s="99" t="s">
        <v>475</v>
      </c>
      <c r="B171" s="77" t="s">
        <v>476</v>
      </c>
      <c r="C171" s="305">
        <v>200000</v>
      </c>
      <c r="D171" s="305">
        <v>200000</v>
      </c>
      <c r="E171" s="305">
        <v>189500</v>
      </c>
      <c r="F171" s="91">
        <f t="shared" si="15"/>
        <v>0</v>
      </c>
      <c r="G171" s="162">
        <f>H171/D171*100</f>
        <v>100</v>
      </c>
      <c r="H171" s="92">
        <v>200000</v>
      </c>
    </row>
    <row r="172" spans="1:8" ht="22.5" customHeight="1" x14ac:dyDescent="0.2">
      <c r="A172" s="99" t="s">
        <v>569</v>
      </c>
      <c r="B172" s="77" t="s">
        <v>570</v>
      </c>
      <c r="C172" s="305"/>
      <c r="D172" s="305"/>
      <c r="E172" s="305"/>
      <c r="F172" s="91">
        <f>H172-D172</f>
        <v>0</v>
      </c>
      <c r="G172" s="162">
        <v>0</v>
      </c>
      <c r="H172" s="92"/>
    </row>
    <row r="173" spans="1:8" ht="33" customHeight="1" x14ac:dyDescent="0.2">
      <c r="A173" s="76" t="s">
        <v>70</v>
      </c>
      <c r="B173" s="77" t="s">
        <v>71</v>
      </c>
      <c r="C173" s="305"/>
      <c r="D173" s="305"/>
      <c r="E173" s="305"/>
      <c r="F173" s="91">
        <f t="shared" si="15"/>
        <v>0</v>
      </c>
      <c r="G173" s="162"/>
      <c r="H173" s="92"/>
    </row>
    <row r="174" spans="1:8" ht="12.75" customHeight="1" x14ac:dyDescent="0.2">
      <c r="A174" s="76" t="s">
        <v>72</v>
      </c>
      <c r="B174" s="77" t="s">
        <v>73</v>
      </c>
      <c r="C174" s="305"/>
      <c r="D174" s="305"/>
      <c r="E174" s="305"/>
      <c r="F174" s="91">
        <f t="shared" si="15"/>
        <v>0</v>
      </c>
      <c r="G174" s="162"/>
      <c r="H174" s="92"/>
    </row>
    <row r="175" spans="1:8" ht="12.75" customHeight="1" x14ac:dyDescent="0.2">
      <c r="A175" s="76" t="s">
        <v>74</v>
      </c>
      <c r="B175" s="77" t="s">
        <v>75</v>
      </c>
      <c r="C175" s="305">
        <v>300000</v>
      </c>
      <c r="D175" s="305">
        <v>300000</v>
      </c>
      <c r="E175" s="305">
        <v>551272</v>
      </c>
      <c r="F175" s="91">
        <f t="shared" si="15"/>
        <v>290000</v>
      </c>
      <c r="G175" s="162">
        <f>H175/D175*100</f>
        <v>196.66666666666666</v>
      </c>
      <c r="H175" s="92">
        <v>590000</v>
      </c>
    </row>
    <row r="176" spans="1:8" ht="12.75" customHeight="1" x14ac:dyDescent="0.2">
      <c r="A176" s="76" t="s">
        <v>76</v>
      </c>
      <c r="B176" s="77" t="s">
        <v>77</v>
      </c>
      <c r="C176" s="305"/>
      <c r="D176" s="305"/>
      <c r="E176" s="305"/>
      <c r="F176" s="91">
        <f t="shared" ref="F176:F178" si="16">H176-C176</f>
        <v>0</v>
      </c>
      <c r="G176" s="162"/>
      <c r="H176" s="92"/>
    </row>
    <row r="177" spans="1:8" ht="12.75" customHeight="1" x14ac:dyDescent="0.2">
      <c r="A177" s="76" t="s">
        <v>90</v>
      </c>
      <c r="B177" s="77" t="s">
        <v>91</v>
      </c>
      <c r="C177" s="305"/>
      <c r="D177" s="305"/>
      <c r="E177" s="305"/>
      <c r="F177" s="91">
        <f t="shared" si="16"/>
        <v>0</v>
      </c>
      <c r="G177" s="162"/>
      <c r="H177" s="92"/>
    </row>
    <row r="178" spans="1:8" ht="21.75" thickBot="1" x14ac:dyDescent="0.25">
      <c r="A178" s="88" t="s">
        <v>94</v>
      </c>
      <c r="B178" s="80" t="s">
        <v>95</v>
      </c>
      <c r="C178" s="357"/>
      <c r="D178" s="357"/>
      <c r="E178" s="357"/>
      <c r="F178" s="91">
        <f t="shared" si="16"/>
        <v>0</v>
      </c>
      <c r="G178" s="162"/>
      <c r="H178" s="84"/>
    </row>
    <row r="179" spans="1:8" ht="17.25" customHeight="1" thickBot="1" x14ac:dyDescent="0.25">
      <c r="A179" s="863" t="s">
        <v>117</v>
      </c>
      <c r="B179" s="863"/>
      <c r="C179" s="549">
        <f>SUM(C168:C178)</f>
        <v>62500000</v>
      </c>
      <c r="D179" s="549">
        <f t="shared" ref="D179:E179" si="17">SUM(D168:D178)</f>
        <v>62500000</v>
      </c>
      <c r="E179" s="549">
        <f t="shared" si="17"/>
        <v>79573606</v>
      </c>
      <c r="F179" s="540">
        <f>SUM(F168:F178)</f>
        <v>27120000</v>
      </c>
      <c r="G179" s="541">
        <f>H179/D179*100</f>
        <v>143.392</v>
      </c>
      <c r="H179" s="542">
        <f>SUM(H168:H178)</f>
        <v>89620000</v>
      </c>
    </row>
    <row r="180" spans="1:8" ht="21.75" customHeight="1" thickBot="1" x14ac:dyDescent="0.25">
      <c r="F180" s="696"/>
      <c r="G180" s="696"/>
      <c r="H180" s="737"/>
    </row>
    <row r="181" spans="1:8" ht="20.25" customHeight="1" thickBot="1" x14ac:dyDescent="0.25">
      <c r="A181" s="871" t="s">
        <v>137</v>
      </c>
      <c r="B181" s="871"/>
      <c r="C181" s="738">
        <f>C35+C46+C92+C98+C103+C114+C131+C141+C147+C179+C164+C158+C125+C108+C119+C153+C136+C40</f>
        <v>667551738</v>
      </c>
      <c r="D181" s="738">
        <f t="shared" ref="D181:F181" si="18">D35+D46+D92+D98+D103+D114+D131+D141+D147+D179+D164+D158+D125+D108+D119+D153+D136+D40</f>
        <v>688212242</v>
      </c>
      <c r="E181" s="738">
        <f t="shared" si="18"/>
        <v>654949992</v>
      </c>
      <c r="F181" s="738">
        <f t="shared" si="18"/>
        <v>42713299</v>
      </c>
      <c r="G181" s="739">
        <f>H181/C181*100</f>
        <v>109.49346685694645</v>
      </c>
      <c r="H181" s="740">
        <f>H35+H46+H92+H98+H103+H114+H131+H141+H147+H179+H164+H158+H125+H108+H119+H153+H136+H40</f>
        <v>730925541</v>
      </c>
    </row>
    <row r="184" spans="1:8" x14ac:dyDescent="0.2">
      <c r="H184" s="741">
        <f>H181-'Kiadások részletes COFOG'!F547</f>
        <v>0</v>
      </c>
    </row>
    <row r="185" spans="1:8" x14ac:dyDescent="0.2">
      <c r="B185" s="742"/>
      <c r="C185" s="742"/>
      <c r="D185" s="742"/>
      <c r="E185" s="742"/>
      <c r="F185" s="697"/>
    </row>
    <row r="186" spans="1:8" x14ac:dyDescent="0.2">
      <c r="F186" s="696"/>
    </row>
    <row r="187" spans="1:8" x14ac:dyDescent="0.2">
      <c r="F187" s="696"/>
    </row>
    <row r="188" spans="1:8" x14ac:dyDescent="0.2">
      <c r="F188" s="696"/>
      <c r="G188" s="729"/>
    </row>
    <row r="189" spans="1:8" x14ac:dyDescent="0.2">
      <c r="F189" s="696"/>
    </row>
  </sheetData>
  <autoFilter ref="A1:A189" xr:uid="{00000000-0009-0000-0000-000002000000}"/>
  <mergeCells count="96">
    <mergeCell ref="A131:B131"/>
    <mergeCell ref="A137:H137"/>
    <mergeCell ref="A138:A139"/>
    <mergeCell ref="B138:B139"/>
    <mergeCell ref="A154:H154"/>
    <mergeCell ref="C138:H138"/>
    <mergeCell ref="A132:H132"/>
    <mergeCell ref="A133:A134"/>
    <mergeCell ref="B133:B134"/>
    <mergeCell ref="C133:H133"/>
    <mergeCell ref="A136:B136"/>
    <mergeCell ref="A103:B103"/>
    <mergeCell ref="A109:H109"/>
    <mergeCell ref="A110:A111"/>
    <mergeCell ref="B105:B106"/>
    <mergeCell ref="H105:H106"/>
    <mergeCell ref="A108:B108"/>
    <mergeCell ref="C105:G105"/>
    <mergeCell ref="C110:H110"/>
    <mergeCell ref="C8:H8"/>
    <mergeCell ref="C42:H42"/>
    <mergeCell ref="C48:H48"/>
    <mergeCell ref="C94:H94"/>
    <mergeCell ref="C100:H100"/>
    <mergeCell ref="A36:H36"/>
    <mergeCell ref="A37:A38"/>
    <mergeCell ref="B37:B38"/>
    <mergeCell ref="C37:H37"/>
    <mergeCell ref="A40:B40"/>
    <mergeCell ref="A99:H99"/>
    <mergeCell ref="A100:A101"/>
    <mergeCell ref="B100:B101"/>
    <mergeCell ref="A92:B92"/>
    <mergeCell ref="A93:H93"/>
    <mergeCell ref="A94:A95"/>
    <mergeCell ref="B94:B95"/>
    <mergeCell ref="A98:B98"/>
    <mergeCell ref="B155:B156"/>
    <mergeCell ref="A141:B141"/>
    <mergeCell ref="A142:H142"/>
    <mergeCell ref="A143:A144"/>
    <mergeCell ref="B143:B144"/>
    <mergeCell ref="A147:B147"/>
    <mergeCell ref="A148:H148"/>
    <mergeCell ref="A149:A150"/>
    <mergeCell ref="B149:B150"/>
    <mergeCell ref="A153:B153"/>
    <mergeCell ref="C155:H155"/>
    <mergeCell ref="C143:H143"/>
    <mergeCell ref="C149:H149"/>
    <mergeCell ref="A155:A156"/>
    <mergeCell ref="A164:B164"/>
    <mergeCell ref="A2:H2"/>
    <mergeCell ref="A3:H3"/>
    <mergeCell ref="A5:H5"/>
    <mergeCell ref="A7:H7"/>
    <mergeCell ref="A8:A9"/>
    <mergeCell ref="B8:B9"/>
    <mergeCell ref="A17:A18"/>
    <mergeCell ref="A35:B35"/>
    <mergeCell ref="A41:H41"/>
    <mergeCell ref="A42:A43"/>
    <mergeCell ref="B42:B43"/>
    <mergeCell ref="A46:B46"/>
    <mergeCell ref="A47:H47"/>
    <mergeCell ref="A48:A49"/>
    <mergeCell ref="B48:B49"/>
    <mergeCell ref="A181:B181"/>
    <mergeCell ref="A179:B179"/>
    <mergeCell ref="A166:A167"/>
    <mergeCell ref="B166:B167"/>
    <mergeCell ref="A165:H165"/>
    <mergeCell ref="C166:H166"/>
    <mergeCell ref="A158:B158"/>
    <mergeCell ref="A159:H159"/>
    <mergeCell ref="A160:A161"/>
    <mergeCell ref="B160:B161"/>
    <mergeCell ref="C160:H160"/>
    <mergeCell ref="A119:B119"/>
    <mergeCell ref="B110:B111"/>
    <mergeCell ref="A127:A128"/>
    <mergeCell ref="B127:B128"/>
    <mergeCell ref="A120:H120"/>
    <mergeCell ref="A121:A122"/>
    <mergeCell ref="B121:B122"/>
    <mergeCell ref="A125:B125"/>
    <mergeCell ref="C116:H116"/>
    <mergeCell ref="C121:H121"/>
    <mergeCell ref="C127:H127"/>
    <mergeCell ref="A114:B114"/>
    <mergeCell ref="A126:H126"/>
    <mergeCell ref="A104:H104"/>
    <mergeCell ref="A105:A106"/>
    <mergeCell ref="A115:H115"/>
    <mergeCell ref="A116:A117"/>
    <mergeCell ref="B116:B117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73" firstPageNumber="0" orientation="portrait" r:id="rId1"/>
  <headerFooter>
    <oddHeader>&amp;R2020.01.hó</oddHeader>
  </headerFooter>
  <rowBreaks count="3" manualBreakCount="3">
    <brk id="46" max="16383" man="1"/>
    <brk id="98" max="5" man="1"/>
    <brk id="15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  <pageSetUpPr fitToPage="1"/>
  </sheetPr>
  <dimension ref="A1:M83"/>
  <sheetViews>
    <sheetView showGridLines="0" tabSelected="1" topLeftCell="A38" zoomScaleNormal="100" workbookViewId="0">
      <selection activeCell="K45" sqref="K45"/>
    </sheetView>
  </sheetViews>
  <sheetFormatPr defaultRowHeight="12.75" x14ac:dyDescent="0.2"/>
  <cols>
    <col min="1" max="1" width="11.85546875" customWidth="1"/>
    <col min="2" max="2" width="40.42578125" customWidth="1"/>
    <col min="3" max="3" width="15.5703125" bestFit="1" customWidth="1"/>
    <col min="4" max="5" width="15.5703125" customWidth="1"/>
    <col min="6" max="6" width="12.140625" customWidth="1"/>
    <col min="7" max="7" width="5.85546875" customWidth="1"/>
    <col min="8" max="8" width="17.140625" customWidth="1"/>
    <col min="9" max="9" width="18.85546875" customWidth="1"/>
    <col min="10" max="12" width="8.42578125" customWidth="1"/>
    <col min="13" max="13" width="8.7109375" customWidth="1"/>
    <col min="14" max="1026" width="8.42578125" customWidth="1"/>
  </cols>
  <sheetData>
    <row r="1" spans="1:9" ht="19.5" customHeight="1" x14ac:dyDescent="0.2">
      <c r="H1" s="256" t="s">
        <v>138</v>
      </c>
    </row>
    <row r="2" spans="1:9" ht="15.75" x14ac:dyDescent="0.25">
      <c r="A2" s="850" t="s">
        <v>747</v>
      </c>
      <c r="B2" s="850"/>
      <c r="C2" s="850"/>
      <c r="D2" s="850"/>
      <c r="E2" s="850"/>
      <c r="F2" s="850"/>
      <c r="G2" s="850"/>
      <c r="H2" s="850"/>
    </row>
    <row r="3" spans="1:9" ht="15.75" x14ac:dyDescent="0.25">
      <c r="A3" s="850" t="s">
        <v>386</v>
      </c>
      <c r="B3" s="850"/>
      <c r="C3" s="850"/>
      <c r="D3" s="850"/>
      <c r="E3" s="850"/>
      <c r="F3" s="850"/>
      <c r="G3" s="850"/>
      <c r="H3" s="850"/>
    </row>
    <row r="4" spans="1:9" ht="14.25" customHeight="1" thickBot="1" x14ac:dyDescent="0.25">
      <c r="A4" s="102"/>
      <c r="B4" s="102"/>
      <c r="C4" s="102"/>
      <c r="D4" s="102"/>
      <c r="E4" s="102"/>
      <c r="F4" s="102"/>
      <c r="G4" s="102"/>
      <c r="H4" s="44" t="s">
        <v>44</v>
      </c>
    </row>
    <row r="5" spans="1:9" ht="20.25" customHeight="1" thickBot="1" x14ac:dyDescent="0.25">
      <c r="A5" s="892" t="s">
        <v>3</v>
      </c>
      <c r="B5" s="892"/>
      <c r="C5" s="892"/>
      <c r="D5" s="892"/>
      <c r="E5" s="892"/>
      <c r="F5" s="892"/>
      <c r="G5" s="892"/>
      <c r="H5" s="892"/>
    </row>
    <row r="6" spans="1:9" ht="15.75" customHeight="1" thickBot="1" x14ac:dyDescent="0.25">
      <c r="A6" s="858" t="s">
        <v>45</v>
      </c>
      <c r="B6" s="893" t="s">
        <v>46</v>
      </c>
      <c r="C6" s="894">
        <v>2023</v>
      </c>
      <c r="D6" s="894"/>
      <c r="E6" s="894"/>
      <c r="F6" s="894"/>
      <c r="G6" s="894"/>
      <c r="H6" s="895"/>
    </row>
    <row r="7" spans="1:9" ht="21.75" customHeight="1" thickBot="1" x14ac:dyDescent="0.25">
      <c r="A7" s="858"/>
      <c r="B7" s="893"/>
      <c r="C7" s="631" t="s">
        <v>47</v>
      </c>
      <c r="D7" s="675" t="s">
        <v>731</v>
      </c>
      <c r="E7" s="631" t="s">
        <v>746</v>
      </c>
      <c r="F7" s="614" t="s">
        <v>504</v>
      </c>
      <c r="G7" s="45" t="s">
        <v>380</v>
      </c>
      <c r="H7" s="615" t="s">
        <v>782</v>
      </c>
      <c r="I7" s="103"/>
    </row>
    <row r="8" spans="1:9" ht="20.100000000000001" customHeight="1" x14ac:dyDescent="0.2">
      <c r="A8" s="47" t="s">
        <v>139</v>
      </c>
      <c r="B8" s="638" t="s">
        <v>140</v>
      </c>
      <c r="C8" s="668">
        <f>'Kiadások COFOG szerint'!C201+'Kiadások COFOG szerint'!C257+'Kiadások COFOG szerint'!C303+'Kiadások COFOG szerint'!C10+'Kiadások COFOG szerint'!C115+'Kiadások COFOG szerint'!C125+'Kiadások COFOG szerint'!C172</f>
        <v>18864350</v>
      </c>
      <c r="D8" s="260">
        <v>21067600</v>
      </c>
      <c r="E8" s="260">
        <f>'Kiadások COFOG szerint'!E201+'Kiadások COFOG szerint'!E257+'Kiadások COFOG szerint'!E303+'Kiadások COFOG szerint'!E153+'Kiadások COFOG szerint'!E10+'Kiadások COFOG szerint'!E115+'Kiadások COFOG szerint'!E125+'Kiadások COFOG szerint'!E172</f>
        <v>20520455</v>
      </c>
      <c r="F8" s="260">
        <f>'Kiadások COFOG szerint'!F201+'Kiadások COFOG szerint'!F257+'Kiadások COFOG szerint'!F303+'Kiadások COFOG szerint'!F153+'Kiadások COFOG szerint'!F10+'Kiadások COFOG szerint'!F115+'Kiadások COFOG szerint'!F125+'Kiadások COFOG szerint'!F172</f>
        <v>4191257</v>
      </c>
      <c r="G8" s="774">
        <f>SUM(H8/D8*100)</f>
        <v>119.89432588429626</v>
      </c>
      <c r="H8" s="481">
        <f>'Kiadások COFOG szerint'!H201+'Kiadások COFOG szerint'!H257+'Kiadások COFOG szerint'!H303+'Kiadások COFOG szerint'!H153+'Kiadások COFOG szerint'!H10+'Kiadások COFOG szerint'!H115+'Kiadások COFOG szerint'!H125+'Kiadások COFOG szerint'!H172</f>
        <v>25258857</v>
      </c>
      <c r="I8" s="104"/>
    </row>
    <row r="9" spans="1:9" ht="20.100000000000001" customHeight="1" x14ac:dyDescent="0.2">
      <c r="A9" s="49" t="s">
        <v>682</v>
      </c>
      <c r="B9" s="639" t="s">
        <v>687</v>
      </c>
      <c r="C9" s="485">
        <f>SUM('Kiadások COFOG szerint'!C173+'Kiadások COFOG szerint'!C202)</f>
        <v>400000</v>
      </c>
      <c r="D9" s="261">
        <v>400000</v>
      </c>
      <c r="E9" s="261">
        <f>SUM('Kiadások COFOG szerint'!E173+'Kiadások COFOG szerint'!E202)</f>
        <v>0</v>
      </c>
      <c r="F9" s="261">
        <f>SUM('Kiadások COFOG szerint'!F173+'Kiadások COFOG szerint'!F202)</f>
        <v>-400000</v>
      </c>
      <c r="G9" s="774">
        <f t="shared" ref="G9:G18" si="0">SUM(H9/D9*100)</f>
        <v>0</v>
      </c>
      <c r="H9" s="480">
        <f>SUM('Kiadások COFOG szerint'!H173+'Kiadások COFOG szerint'!H202)</f>
        <v>0</v>
      </c>
      <c r="I9" s="105"/>
    </row>
    <row r="10" spans="1:9" ht="20.100000000000001" customHeight="1" x14ac:dyDescent="0.2">
      <c r="A10" s="49" t="s">
        <v>418</v>
      </c>
      <c r="B10" s="639" t="s">
        <v>419</v>
      </c>
      <c r="C10" s="485">
        <f>'Kiadások COFOG szerint'!C203</f>
        <v>100000</v>
      </c>
      <c r="D10" s="261">
        <v>100000</v>
      </c>
      <c r="E10" s="261">
        <f>'Kiadások COFOG szerint'!E203</f>
        <v>0</v>
      </c>
      <c r="F10" s="261">
        <f>'Kiadások COFOG szerint'!F203</f>
        <v>0</v>
      </c>
      <c r="G10" s="774">
        <f t="shared" si="0"/>
        <v>100</v>
      </c>
      <c r="H10" s="480">
        <f>'Kiadások COFOG szerint'!H203</f>
        <v>100000</v>
      </c>
      <c r="I10" s="105"/>
    </row>
    <row r="11" spans="1:9" ht="20.100000000000001" customHeight="1" x14ac:dyDescent="0.2">
      <c r="A11" s="49" t="s">
        <v>530</v>
      </c>
      <c r="B11" s="639" t="s">
        <v>531</v>
      </c>
      <c r="C11" s="485">
        <f>'Kiadások COFOG szerint'!C204</f>
        <v>0</v>
      </c>
      <c r="D11" s="261">
        <v>0</v>
      </c>
      <c r="E11" s="261">
        <f>'Kiadások COFOG szerint'!E204</f>
        <v>0</v>
      </c>
      <c r="F11" s="261">
        <f>'Kiadások COFOG szerint'!F204</f>
        <v>0</v>
      </c>
      <c r="G11" s="774">
        <v>0</v>
      </c>
      <c r="H11" s="480">
        <f>'Kiadások COFOG szerint'!H204</f>
        <v>0</v>
      </c>
      <c r="I11" s="105"/>
    </row>
    <row r="12" spans="1:9" ht="20.100000000000001" customHeight="1" x14ac:dyDescent="0.2">
      <c r="A12" s="49" t="s">
        <v>420</v>
      </c>
      <c r="B12" s="639" t="s">
        <v>478</v>
      </c>
      <c r="C12" s="485">
        <f>'Kiadások COFOG szerint'!C205+'Kiadások COFOG szerint'!C258+'Kiadások COFOG szerint'!C174+'Kiadások COFOG szerint'!C304</f>
        <v>350000</v>
      </c>
      <c r="D12" s="261">
        <v>350000</v>
      </c>
      <c r="E12" s="261">
        <f>'Kiadások COFOG szerint'!E205+'Kiadások COFOG szerint'!E258+'Kiadások COFOG szerint'!E304+'Kiadások COFOG szerint'!E174</f>
        <v>600000</v>
      </c>
      <c r="F12" s="261">
        <f>'Kiadások COFOG szerint'!F205+'Kiadások COFOG szerint'!F258+'Kiadások COFOG szerint'!F304+'Kiadások COFOG szerint'!F174</f>
        <v>250000</v>
      </c>
      <c r="G12" s="774">
        <f t="shared" si="0"/>
        <v>171.42857142857142</v>
      </c>
      <c r="H12" s="480">
        <f>'Kiadások COFOG szerint'!H205+'Kiadások COFOG szerint'!H258+'Kiadások COFOG szerint'!H304+'Kiadások COFOG szerint'!H174</f>
        <v>600000</v>
      </c>
      <c r="I12" s="104"/>
    </row>
    <row r="13" spans="1:9" ht="20.100000000000001" customHeight="1" x14ac:dyDescent="0.2">
      <c r="A13" s="49" t="s">
        <v>143</v>
      </c>
      <c r="B13" s="639" t="s">
        <v>144</v>
      </c>
      <c r="C13" s="485">
        <f>'Kiadások COFOG szerint'!C206</f>
        <v>0</v>
      </c>
      <c r="D13" s="261">
        <v>0</v>
      </c>
      <c r="E13" s="261">
        <f>'Kiadások COFOG szerint'!E206</f>
        <v>0</v>
      </c>
      <c r="F13" s="261">
        <f>'Kiadások COFOG szerint'!F206</f>
        <v>0</v>
      </c>
      <c r="G13" s="774">
        <v>0</v>
      </c>
      <c r="H13" s="480">
        <f>'Kiadások COFOG szerint'!H206</f>
        <v>0</v>
      </c>
      <c r="I13" s="104"/>
    </row>
    <row r="14" spans="1:9" ht="20.100000000000001" customHeight="1" x14ac:dyDescent="0.2">
      <c r="A14" s="49" t="s">
        <v>145</v>
      </c>
      <c r="B14" s="639" t="s">
        <v>146</v>
      </c>
      <c r="C14" s="485">
        <f>'Kiadások COFOG szerint'!C175+'Kiadások COFOG szerint'!C207+'Kiadások COFOG szerint'!C259+'Kiadások COFOG szerint'!C305</f>
        <v>0</v>
      </c>
      <c r="D14" s="261">
        <v>0</v>
      </c>
      <c r="E14" s="261">
        <f>'Kiadások COFOG szerint'!E175+'Kiadások COFOG szerint'!E207+'Kiadások COFOG szerint'!E259+'Kiadások COFOG szerint'!E305</f>
        <v>0</v>
      </c>
      <c r="F14" s="261">
        <f>'Kiadások COFOG szerint'!F175+'Kiadások COFOG szerint'!F207+'Kiadások COFOG szerint'!F259+'Kiadások COFOG szerint'!F305</f>
        <v>0</v>
      </c>
      <c r="G14" s="774">
        <v>0</v>
      </c>
      <c r="H14" s="480">
        <f>'Kiadások COFOG szerint'!H175+'Kiadások COFOG szerint'!H207+'Kiadások COFOG szerint'!H259+'Kiadások COFOG szerint'!H305</f>
        <v>0</v>
      </c>
      <c r="I14" s="104"/>
    </row>
    <row r="15" spans="1:9" ht="20.100000000000001" customHeight="1" x14ac:dyDescent="0.2">
      <c r="A15" s="49" t="s">
        <v>147</v>
      </c>
      <c r="B15" s="639" t="s">
        <v>148</v>
      </c>
      <c r="C15" s="485">
        <f>'Kiadások COFOG szerint'!C260+'Kiadások COFOG szerint'!C126+'Kiadások COFOG szerint'!C176+'Kiadások COFOG szerint'!C208</f>
        <v>420000</v>
      </c>
      <c r="D15" s="261">
        <v>420000</v>
      </c>
      <c r="E15" s="261">
        <f>'Kiadások COFOG szerint'!E126+'Kiadások COFOG szerint'!E176+'Kiadások COFOG szerint'!E208+'Kiadások COFOG szerint'!E260</f>
        <v>497066</v>
      </c>
      <c r="F15" s="261">
        <f>'Kiadások COFOG szerint'!F126+'Kiadások COFOG szerint'!F176+'Kiadások COFOG szerint'!F208+'Kiadások COFOG szerint'!F260</f>
        <v>250000</v>
      </c>
      <c r="G15" s="774">
        <f t="shared" si="0"/>
        <v>159.52380952380955</v>
      </c>
      <c r="H15" s="480">
        <f>'Kiadások COFOG szerint'!H126+'Kiadások COFOG szerint'!H176+'Kiadások COFOG szerint'!H208+'Kiadások COFOG szerint'!H260</f>
        <v>670000</v>
      </c>
      <c r="I15" s="105"/>
    </row>
    <row r="16" spans="1:9" ht="20.100000000000001" customHeight="1" x14ac:dyDescent="0.2">
      <c r="A16" s="49" t="s">
        <v>149</v>
      </c>
      <c r="B16" s="639" t="s">
        <v>150</v>
      </c>
      <c r="C16" s="485">
        <f>'Kiadások COFOG szerint'!C14</f>
        <v>21310000</v>
      </c>
      <c r="D16" s="261">
        <v>21310000</v>
      </c>
      <c r="E16" s="261">
        <f>'Kiadások COFOG szerint'!E14</f>
        <v>15117075</v>
      </c>
      <c r="F16" s="261">
        <f>'Kiadások COFOG szerint'!F14</f>
        <v>0</v>
      </c>
      <c r="G16" s="774">
        <f t="shared" si="0"/>
        <v>100</v>
      </c>
      <c r="H16" s="480">
        <f>'Kiadások COFOG szerint'!H14</f>
        <v>21310000</v>
      </c>
      <c r="I16" s="104"/>
    </row>
    <row r="17" spans="1:9" ht="27" customHeight="1" x14ac:dyDescent="0.2">
      <c r="A17" s="49" t="s">
        <v>151</v>
      </c>
      <c r="B17" s="639" t="s">
        <v>152</v>
      </c>
      <c r="C17" s="485">
        <f>'Kiadások COFOG szerint'!C15+'Kiadások COFOG szerint'!C209+'Kiadások COFOG szerint'!C240+'Kiadások COFOG szerint'!C306</f>
        <v>4960000</v>
      </c>
      <c r="D17" s="261">
        <v>8027500</v>
      </c>
      <c r="E17" s="261">
        <f>'Kiadások COFOG szerint'!E15+'Kiadások COFOG szerint'!E209+'Kiadások COFOG szerint'!E240+'Kiadások COFOG szerint'!E306+'Kiadások COFOG szerint'!E177+'Kiadások COFOG szerint'!E261</f>
        <v>5902375</v>
      </c>
      <c r="F17" s="261">
        <f>'Kiadások COFOG szerint'!F15+'Kiadások COFOG szerint'!F209+'Kiadások COFOG szerint'!F240+'Kiadások COFOG szerint'!F306+'Kiadások COFOG szerint'!F177+'Kiadások COFOG szerint'!F261</f>
        <v>152500</v>
      </c>
      <c r="G17" s="774">
        <f t="shared" si="0"/>
        <v>101.8997197134849</v>
      </c>
      <c r="H17" s="480">
        <f>'Kiadások COFOG szerint'!H15+'Kiadások COFOG szerint'!H209+'Kiadások COFOG szerint'!H240+'Kiadások COFOG szerint'!H306+'Kiadások COFOG szerint'!H177+'Kiadások COFOG szerint'!H261</f>
        <v>8180000</v>
      </c>
      <c r="I17" s="104"/>
    </row>
    <row r="18" spans="1:9" ht="20.100000000000001" customHeight="1" thickBot="1" x14ac:dyDescent="0.25">
      <c r="A18" s="53" t="s">
        <v>153</v>
      </c>
      <c r="B18" s="640" t="s">
        <v>154</v>
      </c>
      <c r="C18" s="632">
        <f>'Kiadások COFOG szerint'!C16+'Kiadások COFOG szerint'!C90</f>
        <v>550000</v>
      </c>
      <c r="D18" s="414">
        <v>1300000</v>
      </c>
      <c r="E18" s="484">
        <f>'Kiadások COFOG szerint'!E16+'Kiadások COFOG szerint'!E90+'Kiadások COFOG szerint'!E178</f>
        <v>1825804</v>
      </c>
      <c r="F18" s="484">
        <f>'Kiadások COFOG szerint'!F16+'Kiadások COFOG szerint'!F90+'Kiadások COFOG szerint'!F178</f>
        <v>532218</v>
      </c>
      <c r="G18" s="774">
        <f t="shared" si="0"/>
        <v>140.93984615384616</v>
      </c>
      <c r="H18" s="482">
        <f>'Kiadások COFOG szerint'!H16+'Kiadások COFOG szerint'!H90+'Kiadások COFOG szerint'!H178</f>
        <v>1832218</v>
      </c>
      <c r="I18" s="104"/>
    </row>
    <row r="19" spans="1:9" ht="24.95" customHeight="1" thickBot="1" x14ac:dyDescent="0.25">
      <c r="A19" s="886" t="s">
        <v>9</v>
      </c>
      <c r="B19" s="887"/>
      <c r="C19" s="360">
        <f>SUM(C8:C18)</f>
        <v>46954350</v>
      </c>
      <c r="D19" s="673">
        <f t="shared" ref="D19:F19" si="1">SUM(D8:D18)</f>
        <v>52975100</v>
      </c>
      <c r="E19" s="784">
        <f>SUM(E8:E18)</f>
        <v>44462775</v>
      </c>
      <c r="F19" s="784">
        <f t="shared" si="1"/>
        <v>4975975</v>
      </c>
      <c r="G19" s="787">
        <f>SUM(H19/D19*100)</f>
        <v>109.3930450343652</v>
      </c>
      <c r="H19" s="108">
        <f>SUM(H8:H18)</f>
        <v>57951075</v>
      </c>
      <c r="I19" s="105"/>
    </row>
    <row r="20" spans="1:9" ht="20.100000000000001" customHeight="1" thickBot="1" x14ac:dyDescent="0.25">
      <c r="A20" s="47" t="s">
        <v>155</v>
      </c>
      <c r="B20" s="638" t="s">
        <v>156</v>
      </c>
      <c r="C20" s="487">
        <f>'Kiadások COFOG szerint'!C18+'Kiadások COFOG szerint'!C116+'Kiadások COFOG szerint'!C127+'Kiadások COFOG szerint'!C179+'Kiadások COFOG szerint'!C210+'Kiadások COFOG szerint'!C241+'Kiadások COFOG szerint'!C262+'Kiadások COFOG szerint'!C307+'Kiadások COFOG szerint'!C91</f>
        <v>6565000</v>
      </c>
      <c r="D20" s="260">
        <v>7100600</v>
      </c>
      <c r="E20" s="262">
        <f>SUM('Kiadások COFOG szerint'!E18+'Kiadások COFOG szerint'!E91+'Kiadások COFOG szerint'!E116+'Kiadások COFOG szerint'!E154+'Kiadások COFOG szerint'!E179+'Kiadások COFOG szerint'!E210+'Kiadások COFOG szerint'!E262+'Kiadások COFOG szerint'!E307)</f>
        <v>5457481</v>
      </c>
      <c r="F20" s="262">
        <f>SUM('Kiadások COFOG szerint'!F18+'Kiadások COFOG szerint'!F91+'Kiadások COFOG szerint'!F116+'Kiadások COFOG szerint'!F154+'Kiadások COFOG szerint'!F179+'Kiadások COFOG szerint'!F210+'Kiadások COFOG szerint'!F262+'Kiadások COFOG szerint'!F307)</f>
        <v>610000</v>
      </c>
      <c r="G20" s="774">
        <f>SUM(H20/D20*100)</f>
        <v>108.59082331070613</v>
      </c>
      <c r="H20" s="481">
        <f>SUM('Kiadások COFOG szerint'!H18+'Kiadások COFOG szerint'!H91+'Kiadások COFOG szerint'!H116+'Kiadások COFOG szerint'!H154+'Kiadások COFOG szerint'!H179+'Kiadások COFOG szerint'!H210+'Kiadások COFOG szerint'!H262+'Kiadások COFOG szerint'!H307)</f>
        <v>7710600</v>
      </c>
      <c r="I20" s="104"/>
    </row>
    <row r="21" spans="1:9" ht="24.95" customHeight="1" thickBot="1" x14ac:dyDescent="0.25">
      <c r="A21" s="886" t="s">
        <v>13</v>
      </c>
      <c r="B21" s="887"/>
      <c r="C21" s="360">
        <f>SUM(C20:C20)</f>
        <v>6565000</v>
      </c>
      <c r="D21" s="673">
        <f t="shared" ref="D21:G21" si="2">SUM(D20:D20)</f>
        <v>7100600</v>
      </c>
      <c r="E21" s="784">
        <f t="shared" si="2"/>
        <v>5457481</v>
      </c>
      <c r="F21" s="784">
        <f t="shared" si="2"/>
        <v>610000</v>
      </c>
      <c r="G21" s="787">
        <f t="shared" si="2"/>
        <v>108.59082331070613</v>
      </c>
      <c r="H21" s="107">
        <f>SUM(H20:H20)</f>
        <v>7710600</v>
      </c>
      <c r="I21" s="105"/>
    </row>
    <row r="22" spans="1:9" ht="20.100000000000001" customHeight="1" x14ac:dyDescent="0.2">
      <c r="A22" s="47" t="s">
        <v>159</v>
      </c>
      <c r="B22" s="638" t="s">
        <v>160</v>
      </c>
      <c r="C22" s="487">
        <f>'Kiadások COFOG szerint'!C20+'Kiadások COFOG szerint'!C211</f>
        <v>230000</v>
      </c>
      <c r="D22" s="260">
        <v>230000</v>
      </c>
      <c r="E22" s="262">
        <f>'Kiadások COFOG szerint'!E20+'Kiadások COFOG szerint'!E211</f>
        <v>52610</v>
      </c>
      <c r="F22" s="262">
        <f>'Kiadások COFOG szerint'!F20+'Kiadások COFOG szerint'!F211</f>
        <v>0</v>
      </c>
      <c r="G22" s="774">
        <f t="shared" ref="G22:G50" si="3">SUM(H22/D22*100)</f>
        <v>100</v>
      </c>
      <c r="H22" s="481">
        <f>'Kiadások COFOG szerint'!H20+'Kiadások COFOG szerint'!H211</f>
        <v>230000</v>
      </c>
      <c r="I22" s="104"/>
    </row>
    <row r="23" spans="1:9" ht="20.100000000000001" hidden="1" customHeight="1" x14ac:dyDescent="0.2">
      <c r="A23" s="49" t="s">
        <v>161</v>
      </c>
      <c r="B23" s="639" t="s">
        <v>162</v>
      </c>
      <c r="C23" s="633"/>
      <c r="D23" s="781"/>
      <c r="E23" s="781"/>
      <c r="F23" s="260">
        <f>H23-D23</f>
        <v>0</v>
      </c>
      <c r="G23" s="774" t="e">
        <f t="shared" si="3"/>
        <v>#DIV/0!</v>
      </c>
      <c r="H23" s="480"/>
      <c r="I23" s="105"/>
    </row>
    <row r="24" spans="1:9" ht="20.100000000000001" hidden="1" customHeight="1" x14ac:dyDescent="0.2">
      <c r="A24" s="49" t="s">
        <v>163</v>
      </c>
      <c r="B24" s="639" t="s">
        <v>164</v>
      </c>
      <c r="C24" s="633"/>
      <c r="D24" s="781"/>
      <c r="E24" s="781"/>
      <c r="F24" s="260">
        <f>H24-D24</f>
        <v>0</v>
      </c>
      <c r="G24" s="774" t="e">
        <f t="shared" si="3"/>
        <v>#DIV/0!</v>
      </c>
      <c r="H24" s="480"/>
      <c r="I24" s="105"/>
    </row>
    <row r="25" spans="1:9" ht="20.100000000000001" hidden="1" customHeight="1" x14ac:dyDescent="0.2">
      <c r="A25" s="49" t="s">
        <v>165</v>
      </c>
      <c r="B25" s="639" t="s">
        <v>166</v>
      </c>
      <c r="C25" s="633"/>
      <c r="D25" s="781"/>
      <c r="E25" s="781"/>
      <c r="F25" s="516">
        <f>H25-D25</f>
        <v>0</v>
      </c>
      <c r="G25" s="774" t="e">
        <f t="shared" si="3"/>
        <v>#DIV/0!</v>
      </c>
      <c r="H25" s="480"/>
      <c r="I25" s="105"/>
    </row>
    <row r="26" spans="1:9" ht="20.100000000000001" customHeight="1" x14ac:dyDescent="0.2">
      <c r="A26" s="49" t="s">
        <v>167</v>
      </c>
      <c r="B26" s="639" t="s">
        <v>168</v>
      </c>
      <c r="C26" s="485">
        <f>SUM('Kiadások COFOG szerint'!C21+'Kiadások COFOG szerint'!C60+'Kiadások COFOG szerint'!C75+'Kiadások COFOG szerint'!C92+'Kiadások COFOG szerint'!C117+'Kiadások COFOG szerint'!C128+'Kiadások COFOG szerint'!C134+'Kiadások COFOG szerint'!C164+'Kiadások COFOG szerint'!C181+'Kiadások COFOG szerint'!C212+'Kiadások COFOG szerint'!C243+'Kiadások COFOG szerint'!C263+'Kiadások COFOG szerint'!C314)</f>
        <v>8926000</v>
      </c>
      <c r="D26" s="262">
        <v>11441686</v>
      </c>
      <c r="E26" s="261">
        <f>SUM('Kiadások COFOG szerint'!E21+'Kiadások COFOG szerint'!E60+'Kiadások COFOG szerint'!E75+'Kiadások COFOG szerint'!E92+'Kiadások COFOG szerint'!E117+'Kiadások COFOG szerint'!E128+'Kiadások COFOG szerint'!E134+'Kiadások COFOG szerint'!E164+'Kiadások COFOG szerint'!E181+'Kiadások COFOG szerint'!E212+'Kiadások COFOG szerint'!E243+'Kiadások COFOG szerint'!E263+'Kiadások COFOG szerint'!E314+'Kiadások COFOG szerint'!E155+'Kiadások COFOG szerint'!E278)</f>
        <v>8572759</v>
      </c>
      <c r="F26" s="261">
        <f>SUM('Kiadások COFOG szerint'!F21+'Kiadások COFOG szerint'!F60+'Kiadások COFOG szerint'!F75+'Kiadások COFOG szerint'!F92+'Kiadások COFOG szerint'!F117+'Kiadások COFOG szerint'!F128+'Kiadások COFOG szerint'!F134+'Kiadások COFOG szerint'!F164+'Kiadások COFOG szerint'!F181+'Kiadások COFOG szerint'!F212+'Kiadások COFOG szerint'!F243+'Kiadások COFOG szerint'!F263+'Kiadások COFOG szerint'!F314+'Kiadások COFOG szerint'!F155+'Kiadások COFOG szerint'!F278)</f>
        <v>1559204</v>
      </c>
      <c r="G26" s="774">
        <f t="shared" si="3"/>
        <v>113.62739722100397</v>
      </c>
      <c r="H26" s="480">
        <f>SUM('Kiadások COFOG szerint'!H21+'Kiadások COFOG szerint'!H60+'Kiadások COFOG szerint'!H75+'Kiadások COFOG szerint'!H92+'Kiadások COFOG szerint'!H117+'Kiadások COFOG szerint'!H128+'Kiadások COFOG szerint'!H134+'Kiadások COFOG szerint'!H164+'Kiadások COFOG szerint'!H181+'Kiadások COFOG szerint'!H212+'Kiadások COFOG szerint'!H243+'Kiadások COFOG szerint'!H263+'Kiadások COFOG szerint'!H314+'Kiadások COFOG szerint'!H155+'Kiadások COFOG szerint'!H278)</f>
        <v>13000890</v>
      </c>
      <c r="I26" s="105"/>
    </row>
    <row r="27" spans="1:9" ht="20.100000000000001" hidden="1" customHeight="1" x14ac:dyDescent="0.2">
      <c r="A27" s="49" t="s">
        <v>169</v>
      </c>
      <c r="B27" s="641" t="s">
        <v>170</v>
      </c>
      <c r="C27" s="634"/>
      <c r="D27" s="782"/>
      <c r="E27" s="782"/>
      <c r="F27" s="261">
        <f t="shared" ref="F27:F32" si="4">H27-D27</f>
        <v>0</v>
      </c>
      <c r="G27" s="774" t="e">
        <f t="shared" si="3"/>
        <v>#DIV/0!</v>
      </c>
      <c r="H27" s="480"/>
      <c r="I27" s="105"/>
    </row>
    <row r="28" spans="1:9" ht="20.100000000000001" hidden="1" customHeight="1" x14ac:dyDescent="0.2">
      <c r="A28" s="49" t="s">
        <v>171</v>
      </c>
      <c r="B28" s="641" t="s">
        <v>172</v>
      </c>
      <c r="C28" s="634"/>
      <c r="D28" s="782"/>
      <c r="E28" s="782"/>
      <c r="F28" s="261">
        <f t="shared" si="4"/>
        <v>0</v>
      </c>
      <c r="G28" s="774" t="e">
        <f t="shared" si="3"/>
        <v>#DIV/0!</v>
      </c>
      <c r="H28" s="480"/>
      <c r="I28" s="105"/>
    </row>
    <row r="29" spans="1:9" ht="20.100000000000001" hidden="1" customHeight="1" x14ac:dyDescent="0.2">
      <c r="A29" s="49" t="s">
        <v>173</v>
      </c>
      <c r="B29" s="641" t="s">
        <v>174</v>
      </c>
      <c r="C29" s="634"/>
      <c r="D29" s="782"/>
      <c r="E29" s="782"/>
      <c r="F29" s="261">
        <f t="shared" si="4"/>
        <v>0</v>
      </c>
      <c r="G29" s="774" t="e">
        <f t="shared" si="3"/>
        <v>#DIV/0!</v>
      </c>
      <c r="H29" s="480"/>
      <c r="I29" s="105"/>
    </row>
    <row r="30" spans="1:9" ht="20.100000000000001" hidden="1" customHeight="1" x14ac:dyDescent="0.2">
      <c r="A30" s="49" t="s">
        <v>175</v>
      </c>
      <c r="B30" s="641" t="s">
        <v>176</v>
      </c>
      <c r="C30" s="634"/>
      <c r="D30" s="782"/>
      <c r="E30" s="782"/>
      <c r="F30" s="261">
        <f t="shared" si="4"/>
        <v>0</v>
      </c>
      <c r="G30" s="774" t="e">
        <f t="shared" si="3"/>
        <v>#DIV/0!</v>
      </c>
      <c r="H30" s="480"/>
      <c r="I30" s="105"/>
    </row>
    <row r="31" spans="1:9" ht="20.100000000000001" hidden="1" customHeight="1" x14ac:dyDescent="0.2">
      <c r="A31" s="49" t="s">
        <v>177</v>
      </c>
      <c r="B31" s="641" t="s">
        <v>178</v>
      </c>
      <c r="C31" s="634"/>
      <c r="D31" s="782"/>
      <c r="E31" s="782"/>
      <c r="F31" s="261">
        <f t="shared" si="4"/>
        <v>0</v>
      </c>
      <c r="G31" s="774" t="e">
        <f t="shared" si="3"/>
        <v>#DIV/0!</v>
      </c>
      <c r="H31" s="480"/>
      <c r="I31" s="105"/>
    </row>
    <row r="32" spans="1:9" ht="19.5" hidden="1" customHeight="1" x14ac:dyDescent="0.2">
      <c r="A32" s="49" t="s">
        <v>179</v>
      </c>
      <c r="B32" s="641" t="s">
        <v>180</v>
      </c>
      <c r="C32" s="634"/>
      <c r="D32" s="782"/>
      <c r="E32" s="782"/>
      <c r="F32" s="261">
        <f t="shared" si="4"/>
        <v>0</v>
      </c>
      <c r="G32" s="774" t="e">
        <f t="shared" si="3"/>
        <v>#DIV/0!</v>
      </c>
      <c r="H32" s="480"/>
      <c r="I32" s="105"/>
    </row>
    <row r="33" spans="1:9" ht="20.100000000000001" customHeight="1" x14ac:dyDescent="0.2">
      <c r="A33" s="49" t="s">
        <v>181</v>
      </c>
      <c r="B33" s="639" t="s">
        <v>318</v>
      </c>
      <c r="C33" s="485">
        <f>'Kiadások COFOG szerint'!C22+'Kiadások COFOG szerint'!C213+'Kiadások COFOG szerint'!C182</f>
        <v>2247600</v>
      </c>
      <c r="D33" s="262">
        <v>2247600</v>
      </c>
      <c r="E33" s="261">
        <f>'Kiadások COFOG szerint'!E22+'Kiadások COFOG szerint'!E213+'Kiadások COFOG szerint'!E182</f>
        <v>1819097</v>
      </c>
      <c r="F33" s="261">
        <f>'Kiadások COFOG szerint'!F22+'Kiadások COFOG szerint'!F213+'Kiadások COFOG szerint'!F182</f>
        <v>42000</v>
      </c>
      <c r="G33" s="774">
        <f t="shared" si="3"/>
        <v>101.86865990389748</v>
      </c>
      <c r="H33" s="480">
        <f>'Kiadások COFOG szerint'!H22+'Kiadások COFOG szerint'!H213+'Kiadások COFOG szerint'!H182</f>
        <v>2289600</v>
      </c>
      <c r="I33" s="105"/>
    </row>
    <row r="34" spans="1:9" ht="20.100000000000001" customHeight="1" x14ac:dyDescent="0.2">
      <c r="A34" s="49" t="s">
        <v>182</v>
      </c>
      <c r="B34" s="639" t="s">
        <v>183</v>
      </c>
      <c r="C34" s="485">
        <f>'Kiadások COFOG szerint'!C23+'Kiadások COFOG szerint'!C214</f>
        <v>354000</v>
      </c>
      <c r="D34" s="262">
        <v>354000</v>
      </c>
      <c r="E34" s="261">
        <f>'Kiadások COFOG szerint'!E23+'Kiadások COFOG szerint'!E214</f>
        <v>314776</v>
      </c>
      <c r="F34" s="261">
        <f>'Kiadások COFOG szerint'!F23+'Kiadások COFOG szerint'!F214</f>
        <v>90000</v>
      </c>
      <c r="G34" s="774">
        <f t="shared" si="3"/>
        <v>125.42372881355932</v>
      </c>
      <c r="H34" s="480">
        <f>'Kiadások COFOG szerint'!H23+'Kiadások COFOG szerint'!H214</f>
        <v>444000</v>
      </c>
      <c r="I34" s="105"/>
    </row>
    <row r="35" spans="1:9" ht="20.100000000000001" customHeight="1" x14ac:dyDescent="0.2">
      <c r="A35" s="49" t="s">
        <v>184</v>
      </c>
      <c r="B35" s="639" t="s">
        <v>185</v>
      </c>
      <c r="C35" s="485">
        <f>SUM('Kiadások COFOG szerint'!C24+'Kiadások COFOG szerint'!C61+'Kiadások COFOG szerint'!C62+'Kiadások COFOG szerint'!C76+'Kiadások COFOG szerint'!C145+'Kiadások COFOG szerint'!C165+'Kiadások COFOG szerint'!C183+'Kiadások COFOG szerint'!C264)</f>
        <v>10894000</v>
      </c>
      <c r="D35" s="261">
        <v>10894000</v>
      </c>
      <c r="E35" s="261">
        <f>SUM('Kiadások COFOG szerint'!E24+'Kiadások COFOG szerint'!E61+'Kiadások COFOG szerint'!E62+'Kiadások COFOG szerint'!E76+'Kiadások COFOG szerint'!E145+'Kiadások COFOG szerint'!E165+'Kiadások COFOG szerint'!E183+'Kiadások COFOG szerint'!E264)</f>
        <v>7416909</v>
      </c>
      <c r="F35" s="261">
        <f>SUM('Kiadások COFOG szerint'!F24+'Kiadások COFOG szerint'!F61+'Kiadások COFOG szerint'!F62+'Kiadások COFOG szerint'!F76+'Kiadások COFOG szerint'!F145+'Kiadások COFOG szerint'!F165+'Kiadások COFOG szerint'!F183+'Kiadások COFOG szerint'!F264)</f>
        <v>500000</v>
      </c>
      <c r="G35" s="774">
        <f t="shared" si="3"/>
        <v>104.58968239397835</v>
      </c>
      <c r="H35" s="480">
        <f>SUM('Kiadások COFOG szerint'!H24+'Kiadások COFOG szerint'!H61+'Kiadások COFOG szerint'!H62+'Kiadások COFOG szerint'!H76+'Kiadások COFOG szerint'!H145+'Kiadások COFOG szerint'!H165+'Kiadások COFOG szerint'!H183+'Kiadások COFOG szerint'!H264)</f>
        <v>11394000</v>
      </c>
      <c r="I35" s="105"/>
    </row>
    <row r="36" spans="1:9" ht="20.100000000000001" customHeight="1" x14ac:dyDescent="0.2">
      <c r="A36" s="49" t="s">
        <v>186</v>
      </c>
      <c r="B36" s="641" t="s">
        <v>187</v>
      </c>
      <c r="C36" s="491">
        <f>'Kiadások COFOG szerint'!C25+'Kiadások COFOG szerint'!C77+'Kiadások COFOG szerint'!C165+'Kiadások COFOG szerint'!C264</f>
        <v>6240000</v>
      </c>
      <c r="D36" s="51">
        <v>6240000</v>
      </c>
      <c r="E36" s="261">
        <f>'Kiadások COFOG szerint'!E25+'Kiadások COFOG szerint'!E77+'Kiadások COFOG szerint'!E165+'Kiadások COFOG szerint'!E264</f>
        <v>5513382</v>
      </c>
      <c r="F36" s="261">
        <f>'Kiadások COFOG szerint'!F25+'Kiadások COFOG szerint'!F77+'Kiadások COFOG szerint'!F165+'Kiadások COFOG szerint'!F264</f>
        <v>500000</v>
      </c>
      <c r="G36" s="774">
        <f t="shared" si="3"/>
        <v>108.01282051282051</v>
      </c>
      <c r="H36" s="480">
        <f>'Kiadások COFOG szerint'!H25+'Kiadások COFOG szerint'!H77+'Kiadások COFOG szerint'!H165+'Kiadások COFOG szerint'!H264</f>
        <v>6740000</v>
      </c>
      <c r="I36" s="105"/>
    </row>
    <row r="37" spans="1:9" ht="20.100000000000001" customHeight="1" x14ac:dyDescent="0.2">
      <c r="A37" s="49" t="s">
        <v>188</v>
      </c>
      <c r="B37" s="641" t="s">
        <v>189</v>
      </c>
      <c r="C37" s="491">
        <f>'Kiadások COFOG szerint'!C26+'Kiadások COFOG szerint'!C78+'Kiadások COFOG szerint'!C183</f>
        <v>4390000</v>
      </c>
      <c r="D37" s="51">
        <v>4390000</v>
      </c>
      <c r="E37" s="261">
        <f>'Kiadások COFOG szerint'!E26+'Kiadások COFOG szerint'!E78+'Kiadások COFOG szerint'!E183</f>
        <v>1766430</v>
      </c>
      <c r="F37" s="261">
        <f>'Kiadások COFOG szerint'!F26+'Kiadások COFOG szerint'!F78+'Kiadások COFOG szerint'!F183</f>
        <v>0</v>
      </c>
      <c r="G37" s="774">
        <f t="shared" si="3"/>
        <v>100</v>
      </c>
      <c r="H37" s="480">
        <f>'Kiadások COFOG szerint'!H26+'Kiadások COFOG szerint'!H78+'Kiadások COFOG szerint'!H183</f>
        <v>4390000</v>
      </c>
      <c r="I37" s="105"/>
    </row>
    <row r="38" spans="1:9" ht="20.100000000000001" customHeight="1" x14ac:dyDescent="0.2">
      <c r="A38" s="49" t="s">
        <v>190</v>
      </c>
      <c r="B38" s="641" t="s">
        <v>191</v>
      </c>
      <c r="C38" s="491">
        <f>'Kiadások COFOG szerint'!C79+'Kiadások COFOG szerint'!C27</f>
        <v>264000</v>
      </c>
      <c r="D38" s="51">
        <v>264000</v>
      </c>
      <c r="E38" s="261">
        <f>'Kiadások COFOG szerint'!E79+'Kiadások COFOG szerint'!E27</f>
        <v>137097</v>
      </c>
      <c r="F38" s="261">
        <f>'Kiadások COFOG szerint'!F79+'Kiadások COFOG szerint'!F27</f>
        <v>0</v>
      </c>
      <c r="G38" s="774">
        <f t="shared" si="3"/>
        <v>100</v>
      </c>
      <c r="H38" s="480">
        <f>'Kiadások COFOG szerint'!H79+'Kiadások COFOG szerint'!H27</f>
        <v>264000</v>
      </c>
      <c r="I38" s="105"/>
    </row>
    <row r="39" spans="1:9" ht="20.100000000000001" customHeight="1" x14ac:dyDescent="0.2">
      <c r="A39" s="49" t="s">
        <v>192</v>
      </c>
      <c r="B39" s="639" t="s">
        <v>193</v>
      </c>
      <c r="C39" s="485">
        <f>'Kiadások COFOG szerint'!C265+'Kiadások COFOG szerint'!C286+'Kiadások COFOG szerint'!C292</f>
        <v>19800000</v>
      </c>
      <c r="D39" s="262">
        <v>19800000</v>
      </c>
      <c r="E39" s="261">
        <f>'Kiadások COFOG szerint'!E265+'Kiadások COFOG szerint'!E286+'Kiadások COFOG szerint'!E292+'Kiadások COFOG szerint'!E279</f>
        <v>12442082</v>
      </c>
      <c r="F39" s="261">
        <f>'Kiadások COFOG szerint'!F265+'Kiadások COFOG szerint'!F286+'Kiadások COFOG szerint'!F292+'Kiadások COFOG szerint'!F279</f>
        <v>353902</v>
      </c>
      <c r="G39" s="774">
        <f t="shared" si="3"/>
        <v>101.78738383838383</v>
      </c>
      <c r="H39" s="480">
        <f>'Kiadások COFOG szerint'!H265+'Kiadások COFOG szerint'!H286+'Kiadások COFOG szerint'!H292+'Kiadások COFOG szerint'!H279</f>
        <v>20153902</v>
      </c>
      <c r="I39" s="105"/>
    </row>
    <row r="40" spans="1:9" ht="20.100000000000001" customHeight="1" x14ac:dyDescent="0.2">
      <c r="A40" s="49" t="s">
        <v>194</v>
      </c>
      <c r="B40" s="639" t="s">
        <v>195</v>
      </c>
      <c r="C40" s="485">
        <f>'Kiadások COFOG szerint'!C28</f>
        <v>150000</v>
      </c>
      <c r="D40" s="262">
        <v>640000</v>
      </c>
      <c r="E40" s="261">
        <f>'Kiadások COFOG szerint'!E28+'Kiadások COFOG szerint'!E94</f>
        <v>576563</v>
      </c>
      <c r="F40" s="261">
        <f>'Kiadások COFOG szerint'!F28+'Kiadások COFOG szerint'!F94</f>
        <v>490000</v>
      </c>
      <c r="G40" s="774">
        <f t="shared" si="3"/>
        <v>176.5625</v>
      </c>
      <c r="H40" s="480">
        <f>'Kiadások COFOG szerint'!H28+'Kiadások COFOG szerint'!H94</f>
        <v>1130000</v>
      </c>
      <c r="I40" s="105"/>
    </row>
    <row r="41" spans="1:9" ht="20.100000000000001" customHeight="1" x14ac:dyDescent="0.2">
      <c r="A41" s="49" t="s">
        <v>196</v>
      </c>
      <c r="B41" s="639" t="s">
        <v>197</v>
      </c>
      <c r="C41" s="485">
        <f>SUM('Kiadások COFOG szerint'!C29+'Kiadások COFOG szerint'!C63+'Kiadások COFOG szerint'!C80+'Kiadások COFOG szerint'!C146+'Kiadások COFOG szerint'!C166+'Kiadások COFOG szerint'!C185+'Kiadások COFOG szerint'!C215+'Kiadások COFOG szerint'!C135+'Kiadások COFOG szerint'!C266)</f>
        <v>5890000</v>
      </c>
      <c r="D41" s="262">
        <v>5890000</v>
      </c>
      <c r="E41" s="261">
        <f>SUM('Kiadások COFOG szerint'!E29+'Kiadások COFOG szerint'!E63+'Kiadások COFOG szerint'!E80+'Kiadások COFOG szerint'!E146+'Kiadások COFOG szerint'!E166+'Kiadások COFOG szerint'!E185+'Kiadások COFOG szerint'!E215+'Kiadások COFOG szerint'!E135+'Kiadások COFOG szerint'!E266+'Kiadások COFOG szerint'!E95)</f>
        <v>4658724</v>
      </c>
      <c r="F41" s="261">
        <f>SUM('Kiadások COFOG szerint'!F29+'Kiadások COFOG szerint'!F63+'Kiadások COFOG szerint'!F80+'Kiadások COFOG szerint'!F146+'Kiadások COFOG szerint'!F166+'Kiadások COFOG szerint'!F185+'Kiadások COFOG szerint'!F215+'Kiadások COFOG szerint'!F135+'Kiadások COFOG szerint'!F266+'Kiadások COFOG szerint'!F95)</f>
        <v>272000</v>
      </c>
      <c r="G41" s="774">
        <f t="shared" si="3"/>
        <v>104.61799660441426</v>
      </c>
      <c r="H41" s="480">
        <f>SUM('Kiadások COFOG szerint'!H29+'Kiadások COFOG szerint'!H63+'Kiadások COFOG szerint'!H80+'Kiadások COFOG szerint'!H146+'Kiadások COFOG szerint'!H166+'Kiadások COFOG szerint'!H185+'Kiadások COFOG szerint'!H215+'Kiadások COFOG szerint'!H135+'Kiadások COFOG szerint'!H266+'Kiadások COFOG szerint'!H95)</f>
        <v>6162000</v>
      </c>
      <c r="I41" s="105"/>
    </row>
    <row r="42" spans="1:9" ht="20.100000000000001" customHeight="1" x14ac:dyDescent="0.2">
      <c r="A42" s="49" t="s">
        <v>479</v>
      </c>
      <c r="B42" s="639" t="s">
        <v>480</v>
      </c>
      <c r="C42" s="485">
        <f>'Kiadások COFOG szerint'!C30</f>
        <v>3000000</v>
      </c>
      <c r="D42" s="262">
        <v>3000000</v>
      </c>
      <c r="E42" s="261">
        <f>'Kiadások COFOG szerint'!E30</f>
        <v>3503585</v>
      </c>
      <c r="F42" s="261">
        <f>'Kiadások COFOG szerint'!F30</f>
        <v>700000</v>
      </c>
      <c r="G42" s="774">
        <f t="shared" si="3"/>
        <v>123.33333333333334</v>
      </c>
      <c r="H42" s="480">
        <f>'Kiadások COFOG szerint'!H30</f>
        <v>3700000</v>
      </c>
      <c r="I42" s="105"/>
    </row>
    <row r="43" spans="1:9" ht="20.100000000000001" customHeight="1" x14ac:dyDescent="0.2">
      <c r="A43" s="49" t="s">
        <v>198</v>
      </c>
      <c r="B43" s="639" t="s">
        <v>199</v>
      </c>
      <c r="C43" s="485">
        <f>'Kiadások COFOG szerint'!C31+'Kiadások COFOG szerint'!C216+'Kiadások COFOG szerint'!C229+'Kiadások COFOG szerint'!C267+'Kiadások COFOG szerint'!C308+'Kiadások COFOG szerint'!C186</f>
        <v>3438400</v>
      </c>
      <c r="D43" s="261">
        <v>3438400</v>
      </c>
      <c r="E43" s="261">
        <f>'Kiadások COFOG szerint'!E31+'Kiadások COFOG szerint'!E216+'Kiadások COFOG szerint'!E229+'Kiadások COFOG szerint'!E267+'Kiadások COFOG szerint'!E308+'Kiadások COFOG szerint'!E186</f>
        <v>2900700</v>
      </c>
      <c r="F43" s="261">
        <f>'Kiadások COFOG szerint'!F31+'Kiadások COFOG szerint'!F216+'Kiadások COFOG szerint'!F229+'Kiadások COFOG szerint'!F267+'Kiadások COFOG szerint'!F308+'Kiadások COFOG szerint'!F186</f>
        <v>869400</v>
      </c>
      <c r="G43" s="774">
        <f t="shared" si="3"/>
        <v>125.28501628664495</v>
      </c>
      <c r="H43" s="480">
        <f>'Kiadások COFOG szerint'!H31+'Kiadások COFOG szerint'!H216+'Kiadások COFOG szerint'!H229+'Kiadások COFOG szerint'!H267+'Kiadások COFOG szerint'!H308+'Kiadások COFOG szerint'!H186</f>
        <v>4307800</v>
      </c>
      <c r="I43" s="105"/>
    </row>
    <row r="44" spans="1:9" ht="20.100000000000001" customHeight="1" x14ac:dyDescent="0.2">
      <c r="A44" s="49" t="s">
        <v>202</v>
      </c>
      <c r="B44" s="639" t="s">
        <v>203</v>
      </c>
      <c r="C44" s="485">
        <f>'Kiadások COFOG szerint'!C32+'Kiadások COFOG szerint'!C64+'Kiadások COFOG szerint'!C81+'Kiadások COFOG szerint'!C96+'Kiadások COFOG szerint'!C136+'Kiadások COFOG szerint'!C187+'Kiadások COFOG szerint'!C217+'Kiadások COFOG szerint'!C244+'Kiadások COFOG szerint'!C268+'Kiadások COFOG szerint'!C316</f>
        <v>13240000</v>
      </c>
      <c r="D44" s="262">
        <v>11306000</v>
      </c>
      <c r="E44" s="261">
        <f>'Kiadások COFOG szerint'!E32+'Kiadások COFOG szerint'!E64+'Kiadások COFOG szerint'!E81+'Kiadások COFOG szerint'!E96+'Kiadások COFOG szerint'!E136+'Kiadások COFOG szerint'!E187+'Kiadások COFOG szerint'!E217+'Kiadások COFOG szerint'!E244+'Kiadások COFOG szerint'!E268+'Kiadások COFOG szerint'!E316+'Kiadások COFOG szerint'!E280</f>
        <v>5956148</v>
      </c>
      <c r="F44" s="261">
        <f>'Kiadások COFOG szerint'!F32+'Kiadások COFOG szerint'!F64+'Kiadások COFOG szerint'!F81+'Kiadások COFOG szerint'!F96+'Kiadások COFOG szerint'!F136+'Kiadások COFOG szerint'!F187+'Kiadások COFOG szerint'!F217+'Kiadások COFOG szerint'!F244+'Kiadások COFOG szerint'!F268+'Kiadások COFOG szerint'!F316+'Kiadások COFOG szerint'!F280</f>
        <v>396244</v>
      </c>
      <c r="G44" s="774">
        <f t="shared" si="3"/>
        <v>103.50472315584645</v>
      </c>
      <c r="H44" s="480">
        <f>'Kiadások COFOG szerint'!H32+'Kiadások COFOG szerint'!H64+'Kiadások COFOG szerint'!H81+'Kiadások COFOG szerint'!H96+'Kiadások COFOG szerint'!H136+'Kiadások COFOG szerint'!H187+'Kiadások COFOG szerint'!H217+'Kiadások COFOG szerint'!H244+'Kiadások COFOG szerint'!H268+'Kiadások COFOG szerint'!H316+'Kiadások COFOG szerint'!H280</f>
        <v>11702244</v>
      </c>
      <c r="I44" s="105"/>
    </row>
    <row r="45" spans="1:9" ht="20.100000000000001" customHeight="1" x14ac:dyDescent="0.2">
      <c r="A45" s="49" t="s">
        <v>208</v>
      </c>
      <c r="B45" s="639" t="s">
        <v>209</v>
      </c>
      <c r="C45" s="485">
        <f>'Kiadások COFOG szerint'!C33+'Kiadások COFOG szerint'!C97+'Kiadások COFOG szerint'!C218</f>
        <v>50000</v>
      </c>
      <c r="D45" s="262">
        <v>50000</v>
      </c>
      <c r="E45" s="261">
        <f>'Kiadások COFOG szerint'!E33+'Kiadások COFOG szerint'!E97+'Kiadások COFOG szerint'!E218</f>
        <v>0</v>
      </c>
      <c r="F45" s="261">
        <f>'Kiadások COFOG szerint'!F33+'Kiadások COFOG szerint'!F97+'Kiadások COFOG szerint'!F218</f>
        <v>0</v>
      </c>
      <c r="G45" s="774">
        <f t="shared" si="3"/>
        <v>100</v>
      </c>
      <c r="H45" s="480">
        <f>'Kiadások COFOG szerint'!H33+'Kiadások COFOG szerint'!H97+'Kiadások COFOG szerint'!H218</f>
        <v>50000</v>
      </c>
      <c r="I45" s="105"/>
    </row>
    <row r="46" spans="1:9" ht="19.5" customHeight="1" x14ac:dyDescent="0.2">
      <c r="A46" s="49" t="s">
        <v>210</v>
      </c>
      <c r="B46" s="639" t="s">
        <v>211</v>
      </c>
      <c r="C46" s="485">
        <f>'Kiadások COFOG szerint'!C34+'Kiadások COFOG szerint'!C66+'Kiadások COFOG szerint'!C82+'Kiadások COFOG szerint'!C98+'Kiadások COFOG szerint'!C118+'Kiadások COFOG szerint'!C129+'Kiadások COFOG szerint'!C138+'Kiadások COFOG szerint'!C167+'Kiadások COFOG szerint'!C189+'Kiadások COFOG szerint'!C219+'Kiadások COFOG szerint'!C245+'Kiadások COFOG szerint'!C269+'Kiadások COFOG szerint'!C287+'Kiadások COFOG szerint'!C293+'Kiadások COFOG szerint'!C317</f>
        <v>16411240</v>
      </c>
      <c r="D46" s="262">
        <v>17513973</v>
      </c>
      <c r="E46" s="261">
        <f>'Kiadások COFOG szerint'!E34+'Kiadások COFOG szerint'!E66+'Kiadások COFOG szerint'!E82+'Kiadások COFOG szerint'!E98+'Kiadások COFOG szerint'!E118+'Kiadások COFOG szerint'!E129+'Kiadások COFOG szerint'!E138+'Kiadások COFOG szerint'!E167+'Kiadások COFOG szerint'!E189+'Kiadások COFOG szerint'!E219+'Kiadások COFOG szerint'!E245+'Kiadások COFOG szerint'!E269+'Kiadások COFOG szerint'!E287+'Kiadások COFOG szerint'!E293+'Kiadások COFOG szerint'!E317+'Kiadások COFOG szerint'!E156+'Kiadások COFOG szerint'!E281</f>
        <v>10761676</v>
      </c>
      <c r="F46" s="261">
        <f>'Kiadások COFOG szerint'!F34+'Kiadások COFOG szerint'!F66+'Kiadások COFOG szerint'!F82+'Kiadások COFOG szerint'!F98+'Kiadások COFOG szerint'!F118+'Kiadások COFOG szerint'!F129+'Kiadások COFOG szerint'!F138+'Kiadások COFOG szerint'!F167+'Kiadások COFOG szerint'!F189+'Kiadások COFOG szerint'!F219+'Kiadások COFOG szerint'!F245+'Kiadások COFOG szerint'!F269+'Kiadások COFOG szerint'!F287+'Kiadások COFOG szerint'!F293+'Kiadások COFOG szerint'!F317+'Kiadások COFOG szerint'!F156+'Kiadások COFOG szerint'!F281</f>
        <v>545775</v>
      </c>
      <c r="G46" s="774">
        <f t="shared" si="3"/>
        <v>103.11622611271582</v>
      </c>
      <c r="H46" s="480">
        <f>'Kiadások COFOG szerint'!H34+'Kiadások COFOG szerint'!H66+'Kiadások COFOG szerint'!H82+'Kiadások COFOG szerint'!H98+'Kiadások COFOG szerint'!H118+'Kiadások COFOG szerint'!H129+'Kiadások COFOG szerint'!H138+'Kiadások COFOG szerint'!H167+'Kiadások COFOG szerint'!H189+'Kiadások COFOG szerint'!H219+'Kiadások COFOG szerint'!H245+'Kiadások COFOG szerint'!H269+'Kiadások COFOG szerint'!H287+'Kiadások COFOG szerint'!H293+'Kiadások COFOG szerint'!H317+'Kiadások COFOG szerint'!H156+'Kiadások COFOG szerint'!H281</f>
        <v>18059748</v>
      </c>
      <c r="I46" s="105"/>
    </row>
    <row r="47" spans="1:9" ht="20.100000000000001" customHeight="1" x14ac:dyDescent="0.2">
      <c r="A47" s="49" t="s">
        <v>212</v>
      </c>
      <c r="B47" s="639" t="s">
        <v>213</v>
      </c>
      <c r="C47" s="485">
        <f>'Kiadások COFOG szerint'!C35</f>
        <v>4400000</v>
      </c>
      <c r="D47" s="262">
        <v>4400000</v>
      </c>
      <c r="E47" s="261">
        <f>'Kiadások COFOG szerint'!E35</f>
        <v>8091000</v>
      </c>
      <c r="F47" s="261">
        <f>'Kiadások COFOG szerint'!F35</f>
        <v>9820000</v>
      </c>
      <c r="G47" s="774">
        <f t="shared" si="3"/>
        <v>323.18181818181819</v>
      </c>
      <c r="H47" s="480">
        <f>'Kiadások COFOG szerint'!H35</f>
        <v>14220000</v>
      </c>
      <c r="I47" s="105"/>
    </row>
    <row r="48" spans="1:9" ht="20.100000000000001" customHeight="1" x14ac:dyDescent="0.2">
      <c r="A48" s="49" t="s">
        <v>214</v>
      </c>
      <c r="B48" s="639" t="s">
        <v>215</v>
      </c>
      <c r="C48" s="485">
        <f>'Kiadások COFOG szerint'!C36+'Kiadások COFOG szerint'!C190</f>
        <v>10000</v>
      </c>
      <c r="D48" s="262">
        <v>10000</v>
      </c>
      <c r="E48" s="261">
        <f>'Kiadások COFOG szerint'!E36+'Kiadások COFOG szerint'!E190</f>
        <v>0</v>
      </c>
      <c r="F48" s="261">
        <f>'Kiadások COFOG szerint'!F36+'Kiadások COFOG szerint'!F190</f>
        <v>0</v>
      </c>
      <c r="G48" s="774">
        <f t="shared" si="3"/>
        <v>100</v>
      </c>
      <c r="H48" s="480">
        <f>'Kiadások COFOG szerint'!H36+'Kiadások COFOG szerint'!H190</f>
        <v>10000</v>
      </c>
      <c r="I48" s="105"/>
    </row>
    <row r="49" spans="1:13" ht="20.100000000000001" customHeight="1" thickBot="1" x14ac:dyDescent="0.25">
      <c r="A49" s="49" t="s">
        <v>216</v>
      </c>
      <c r="B49" s="639" t="s">
        <v>217</v>
      </c>
      <c r="C49" s="485">
        <f>'Kiadások COFOG szerint'!C37</f>
        <v>430000</v>
      </c>
      <c r="D49" s="605">
        <v>1130000</v>
      </c>
      <c r="E49" s="261">
        <f>'Kiadások COFOG szerint'!E37+'Kiadások COFOG szerint'!E191</f>
        <v>1093530</v>
      </c>
      <c r="F49" s="261">
        <f>'Kiadások COFOG szerint'!F37+'Kiadások COFOG szerint'!F191</f>
        <v>150000</v>
      </c>
      <c r="G49" s="774">
        <f t="shared" si="3"/>
        <v>113.27433628318585</v>
      </c>
      <c r="H49" s="480">
        <f>'Kiadások COFOG szerint'!H37+'Kiadások COFOG szerint'!H191</f>
        <v>1280000</v>
      </c>
      <c r="I49" s="105"/>
    </row>
    <row r="50" spans="1:13" ht="24.95" customHeight="1" thickBot="1" x14ac:dyDescent="0.25">
      <c r="A50" s="886" t="s">
        <v>17</v>
      </c>
      <c r="B50" s="887"/>
      <c r="C50" s="606">
        <f t="shared" ref="C50:D50" si="5">SUM(C22:C35,C39:C49)</f>
        <v>89471240</v>
      </c>
      <c r="D50" s="606">
        <f t="shared" si="5"/>
        <v>92345659</v>
      </c>
      <c r="E50" s="783">
        <f>SUM(E22:E35,E39:E49)</f>
        <v>68160159</v>
      </c>
      <c r="F50" s="783">
        <f>SUM(F22:F35,F39:F49)</f>
        <v>15788525</v>
      </c>
      <c r="G50" s="787">
        <f t="shared" si="3"/>
        <v>117.09720323724152</v>
      </c>
      <c r="H50" s="108">
        <f>SUM(H22:H35,H39:H49)</f>
        <v>108134184</v>
      </c>
      <c r="I50" s="105"/>
    </row>
    <row r="51" spans="1:13" ht="21.75" customHeight="1" x14ac:dyDescent="0.2">
      <c r="A51" s="109" t="s">
        <v>218</v>
      </c>
      <c r="B51" s="642" t="s">
        <v>219</v>
      </c>
      <c r="C51" s="669">
        <v>0</v>
      </c>
      <c r="D51" s="775">
        <v>0</v>
      </c>
      <c r="E51" s="773">
        <f>'Kiadások COFOG szerint'!E298</f>
        <v>0</v>
      </c>
      <c r="F51" s="260">
        <f>'Kiadások COFOG szerint'!F298</f>
        <v>0</v>
      </c>
      <c r="G51" s="780">
        <v>0</v>
      </c>
      <c r="H51" s="483">
        <f>'Kiadások COFOG szerint'!H298</f>
        <v>0</v>
      </c>
      <c r="I51" s="105"/>
    </row>
    <row r="52" spans="1:13" ht="20.100000000000001" customHeight="1" x14ac:dyDescent="0.2">
      <c r="A52" s="47" t="s">
        <v>220</v>
      </c>
      <c r="B52" s="638" t="s">
        <v>221</v>
      </c>
      <c r="C52" s="635">
        <v>0</v>
      </c>
      <c r="D52" s="776"/>
      <c r="E52" s="776"/>
      <c r="F52" s="414">
        <f>H52-C52</f>
        <v>0</v>
      </c>
      <c r="G52" s="778">
        <v>0</v>
      </c>
      <c r="H52" s="481"/>
      <c r="I52" s="110"/>
    </row>
    <row r="53" spans="1:13" x14ac:dyDescent="0.2">
      <c r="A53" s="49" t="s">
        <v>222</v>
      </c>
      <c r="B53" s="639" t="s">
        <v>303</v>
      </c>
      <c r="C53" s="633">
        <f>SUM('Kiadások COFOG szerint'!C319)</f>
        <v>6300000</v>
      </c>
      <c r="D53" s="777">
        <v>6300000</v>
      </c>
      <c r="E53" s="261">
        <f>'Kiadások COFOG szerint'!E319</f>
        <v>5184000</v>
      </c>
      <c r="F53" s="261">
        <f>'Kiadások COFOG szerint'!F319</f>
        <v>0</v>
      </c>
      <c r="G53" s="779">
        <f>SUM(H53/D53*100)</f>
        <v>100</v>
      </c>
      <c r="H53" s="480">
        <f>'Kiadások COFOG szerint'!H319</f>
        <v>6300000</v>
      </c>
      <c r="I53" s="110"/>
    </row>
    <row r="54" spans="1:13" ht="20.100000000000001" customHeight="1" x14ac:dyDescent="0.2">
      <c r="A54" s="49" t="s">
        <v>223</v>
      </c>
      <c r="B54" s="639" t="s">
        <v>224</v>
      </c>
      <c r="C54" s="485">
        <v>5500000</v>
      </c>
      <c r="D54" s="261">
        <v>5500000</v>
      </c>
      <c r="E54" s="261">
        <f>'Kiadások COFOG szerint'!E320</f>
        <v>2635610</v>
      </c>
      <c r="F54" s="261">
        <f>'Kiadások COFOG szerint'!F320</f>
        <v>0</v>
      </c>
      <c r="G54" s="779">
        <f>SUM(H54/D54*100)</f>
        <v>100</v>
      </c>
      <c r="H54" s="480">
        <f>'Kiadások COFOG szerint'!H320</f>
        <v>5500000</v>
      </c>
      <c r="I54" s="110"/>
    </row>
    <row r="55" spans="1:13" ht="20.100000000000001" customHeight="1" x14ac:dyDescent="0.2">
      <c r="A55" s="49" t="s">
        <v>225</v>
      </c>
      <c r="B55" s="639" t="s">
        <v>481</v>
      </c>
      <c r="C55" s="485"/>
      <c r="D55" s="485"/>
      <c r="E55" s="485"/>
      <c r="F55" s="484">
        <f>H55-D55</f>
        <v>0</v>
      </c>
      <c r="G55" s="778">
        <v>0</v>
      </c>
      <c r="H55" s="794"/>
      <c r="I55" s="110"/>
    </row>
    <row r="56" spans="1:13" ht="20.100000000000001" customHeight="1" x14ac:dyDescent="0.2">
      <c r="A56" s="49" t="s">
        <v>226</v>
      </c>
      <c r="B56" s="639" t="s">
        <v>227</v>
      </c>
      <c r="C56" s="485"/>
      <c r="D56" s="485"/>
      <c r="E56" s="485"/>
      <c r="F56" s="261">
        <f>H56-D56</f>
        <v>0</v>
      </c>
      <c r="G56" s="778">
        <v>0</v>
      </c>
      <c r="H56" s="480"/>
      <c r="I56" s="110"/>
    </row>
    <row r="57" spans="1:13" ht="18.75" customHeight="1" thickBot="1" x14ac:dyDescent="0.25">
      <c r="A57" s="53" t="s">
        <v>482</v>
      </c>
      <c r="B57" s="643" t="s">
        <v>459</v>
      </c>
      <c r="C57" s="486">
        <f>SUM('Kiadások COFOG szerint'!C318)</f>
        <v>0</v>
      </c>
      <c r="D57" s="666">
        <v>0</v>
      </c>
      <c r="E57" s="666"/>
      <c r="F57" s="484">
        <f>H57-D57</f>
        <v>0</v>
      </c>
      <c r="G57" s="778">
        <v>0</v>
      </c>
      <c r="H57" s="515">
        <f>'Kiadások COFOG szerint'!H318</f>
        <v>0</v>
      </c>
      <c r="I57" s="110"/>
    </row>
    <row r="58" spans="1:13" ht="25.5" customHeight="1" thickBot="1" x14ac:dyDescent="0.25">
      <c r="A58" s="886" t="s">
        <v>21</v>
      </c>
      <c r="B58" s="887"/>
      <c r="C58" s="672">
        <f>SUM(C51:C57)</f>
        <v>11800000</v>
      </c>
      <c r="D58" s="672">
        <f t="shared" ref="D58:E58" si="6">SUM(D51:D57)</f>
        <v>11800000</v>
      </c>
      <c r="E58" s="672">
        <f t="shared" si="6"/>
        <v>7819610</v>
      </c>
      <c r="F58" s="784">
        <f>SUM(F51:F57)</f>
        <v>0</v>
      </c>
      <c r="G58" s="788">
        <f>H58/D58*100</f>
        <v>100</v>
      </c>
      <c r="H58" s="107">
        <f>SUM(H51:H57)</f>
        <v>11800000</v>
      </c>
      <c r="I58" s="110"/>
    </row>
    <row r="59" spans="1:13" ht="24.95" customHeight="1" x14ac:dyDescent="0.2">
      <c r="A59" s="528" t="s">
        <v>229</v>
      </c>
      <c r="B59" s="644" t="s">
        <v>230</v>
      </c>
      <c r="C59" s="636">
        <v>0</v>
      </c>
      <c r="D59" s="636">
        <v>0</v>
      </c>
      <c r="E59" s="636"/>
      <c r="F59" s="260">
        <f>H59-C59</f>
        <v>0</v>
      </c>
      <c r="G59" s="789">
        <v>0</v>
      </c>
      <c r="H59" s="483">
        <f>'Kiadások COFOG szerint'!H103</f>
        <v>0</v>
      </c>
      <c r="I59" s="110"/>
    </row>
    <row r="60" spans="1:13" ht="24.95" customHeight="1" x14ac:dyDescent="0.2">
      <c r="A60" s="49" t="s">
        <v>231</v>
      </c>
      <c r="B60" s="639" t="s">
        <v>232</v>
      </c>
      <c r="C60" s="637">
        <v>0</v>
      </c>
      <c r="D60" s="667"/>
      <c r="E60" s="667"/>
      <c r="F60" s="262">
        <f>H60-C60</f>
        <v>0</v>
      </c>
      <c r="G60" s="790">
        <v>0</v>
      </c>
      <c r="H60" s="480"/>
      <c r="I60" s="110"/>
      <c r="M60" s="69"/>
    </row>
    <row r="61" spans="1:13" ht="24.95" customHeight="1" x14ac:dyDescent="0.2">
      <c r="A61" s="49" t="s">
        <v>228</v>
      </c>
      <c r="B61" s="639" t="s">
        <v>233</v>
      </c>
      <c r="C61" s="670">
        <f>'Kiadások COFOG szerint'!C109</f>
        <v>14550000</v>
      </c>
      <c r="D61" s="51">
        <v>63079410</v>
      </c>
      <c r="E61" s="51">
        <f>'Kiadások COFOG szerint'!E109</f>
        <v>57011417</v>
      </c>
      <c r="F61" s="261">
        <f>'Kiadások COFOG szerint'!F109</f>
        <v>0</v>
      </c>
      <c r="G61" s="791">
        <f>SUM(H61/D61*100)</f>
        <v>100</v>
      </c>
      <c r="H61" s="480">
        <f>'Kiadások COFOG szerint'!H109</f>
        <v>63079410</v>
      </c>
      <c r="I61" s="111"/>
    </row>
    <row r="62" spans="1:13" ht="24.95" customHeight="1" x14ac:dyDescent="0.2">
      <c r="A62" s="49" t="s">
        <v>234</v>
      </c>
      <c r="B62" s="639" t="s">
        <v>235</v>
      </c>
      <c r="C62" s="637">
        <v>0</v>
      </c>
      <c r="D62" s="667"/>
      <c r="E62" s="51">
        <f>SUM('Kiadások COFOG szerint'!E41)</f>
        <v>206036</v>
      </c>
      <c r="F62" s="261">
        <f>SUM('Kiadások COFOG szerint'!F41)</f>
        <v>206036</v>
      </c>
      <c r="G62" s="791">
        <v>0</v>
      </c>
      <c r="H62" s="480">
        <f>SUM('Kiadások COFOG szerint'!H41)</f>
        <v>206036</v>
      </c>
      <c r="I62" s="111"/>
    </row>
    <row r="63" spans="1:13" ht="24.95" customHeight="1" thickBot="1" x14ac:dyDescent="0.25">
      <c r="A63" s="62" t="s">
        <v>236</v>
      </c>
      <c r="B63" s="643" t="s">
        <v>237</v>
      </c>
      <c r="C63" s="671">
        <f>'Kiadások COFOG szerint'!C252</f>
        <v>5389700</v>
      </c>
      <c r="D63" s="492">
        <v>6289700</v>
      </c>
      <c r="E63" s="64">
        <f>'Kiadások COFOG szerint'!E252</f>
        <v>4009079</v>
      </c>
      <c r="F63" s="749">
        <f>'Kiadások COFOG szerint'!F252</f>
        <v>0</v>
      </c>
      <c r="G63" s="792">
        <f>SUM(H63/D63*100)</f>
        <v>100</v>
      </c>
      <c r="H63" s="515">
        <f>'Kiadások COFOG szerint'!H252</f>
        <v>6289700</v>
      </c>
      <c r="I63" s="111"/>
    </row>
    <row r="64" spans="1:13" ht="24.95" customHeight="1" thickBot="1" x14ac:dyDescent="0.25">
      <c r="A64" s="884" t="s">
        <v>25</v>
      </c>
      <c r="B64" s="885"/>
      <c r="C64" s="361">
        <f>SUM(C59:C63)</f>
        <v>19939700</v>
      </c>
      <c r="D64" s="361">
        <f>SUM(D59:D63)</f>
        <v>69369110</v>
      </c>
      <c r="E64" s="361">
        <f>SUM(E59:E63)</f>
        <v>61226532</v>
      </c>
      <c r="F64" s="785">
        <f>SUM(F59:F63)</f>
        <v>206036</v>
      </c>
      <c r="G64" s="793">
        <f>H64/D64*100</f>
        <v>100.29701404558888</v>
      </c>
      <c r="H64" s="112">
        <f>SUM(H59:H63)</f>
        <v>69575146</v>
      </c>
      <c r="I64" s="110"/>
    </row>
    <row r="65" spans="1:13" ht="20.100000000000001" customHeight="1" x14ac:dyDescent="0.2">
      <c r="A65" s="47" t="s">
        <v>238</v>
      </c>
      <c r="B65" s="644" t="s">
        <v>239</v>
      </c>
      <c r="C65" s="487">
        <f>'Kiadások COFOG szerint'!C46</f>
        <v>1370000</v>
      </c>
      <c r="D65" s="260">
        <v>1370000</v>
      </c>
      <c r="E65" s="773">
        <f>'Kiadások COFOG szerint'!E46</f>
        <v>0</v>
      </c>
      <c r="F65" s="260">
        <f>'Kiadások COFOG szerint'!F46</f>
        <v>0</v>
      </c>
      <c r="G65" s="774">
        <f>SUM(H65/D65*100)</f>
        <v>100</v>
      </c>
      <c r="H65" s="481">
        <f>'Kiadások COFOG szerint'!H46</f>
        <v>1370000</v>
      </c>
      <c r="I65" s="110"/>
    </row>
    <row r="66" spans="1:13" ht="20.100000000000001" customHeight="1" x14ac:dyDescent="0.2">
      <c r="A66" s="49" t="s">
        <v>240</v>
      </c>
      <c r="B66" s="639" t="s">
        <v>241</v>
      </c>
      <c r="C66" s="485">
        <f>'Kiadások COFOG szerint'!C83</f>
        <v>0</v>
      </c>
      <c r="D66" s="262">
        <v>0</v>
      </c>
      <c r="E66" s="261">
        <f>'Kiadások COFOG szerint'!E83</f>
        <v>0</v>
      </c>
      <c r="F66" s="261">
        <f>'Kiadások COFOG szerint'!F83</f>
        <v>0</v>
      </c>
      <c r="G66" s="774">
        <v>0</v>
      </c>
      <c r="H66" s="480">
        <f>'Kiadások COFOG szerint'!H83</f>
        <v>0</v>
      </c>
      <c r="I66" s="110"/>
    </row>
    <row r="67" spans="1:13" ht="20.100000000000001" customHeight="1" x14ac:dyDescent="0.2">
      <c r="A67" s="49" t="s">
        <v>242</v>
      </c>
      <c r="B67" s="639" t="s">
        <v>243</v>
      </c>
      <c r="C67" s="261">
        <f>'Kiadások COFOG szerint'!C47+'Kiadások COFOG szerint'!C157+'Kiadások COFOG szerint'!C220</f>
        <v>150000</v>
      </c>
      <c r="D67" s="261">
        <f>'Kiadások COFOG szerint'!D47+'Kiadások COFOG szerint'!D157+'Kiadások COFOG szerint'!D220</f>
        <v>532280</v>
      </c>
      <c r="E67" s="261">
        <f>'Kiadások COFOG szerint'!E47+'Kiadások COFOG szerint'!E157+'Kiadások COFOG szerint'!E220</f>
        <v>712610</v>
      </c>
      <c r="F67" s="261">
        <f>'Kiadások COFOG szerint'!F47+'Kiadások COFOG szerint'!F157+'Kiadások COFOG szerint'!F220</f>
        <v>181047</v>
      </c>
      <c r="G67" s="774">
        <f t="shared" ref="G67:G73" si="7">SUM(H67/D67*100)</f>
        <v>134.01348914105358</v>
      </c>
      <c r="H67" s="480">
        <f>'Kiadások COFOG szerint'!H47+'Kiadások COFOG szerint'!H157+'Kiadások COFOG szerint'!H220</f>
        <v>713327</v>
      </c>
      <c r="I67" s="111"/>
    </row>
    <row r="68" spans="1:13" ht="20.100000000000001" customHeight="1" x14ac:dyDescent="0.2">
      <c r="A68" s="49" t="s">
        <v>244</v>
      </c>
      <c r="B68" s="639" t="s">
        <v>245</v>
      </c>
      <c r="C68" s="485">
        <f>'Kiadások COFOG szerint'!C48+'Kiadások COFOG szerint'!C119+'Kiadások COFOG szerint'!C192+'Kiadások COFOG szerint'!C221+'Kiadások COFOG szerint'!C246</f>
        <v>300000</v>
      </c>
      <c r="D68" s="262">
        <v>6406036</v>
      </c>
      <c r="E68" s="261">
        <f>'Kiadások COFOG szerint'!E48+'Kiadások COFOG szerint'!E119+'Kiadások COFOG szerint'!E192+'Kiadások COFOG szerint'!E221+'Kiadások COFOG szerint'!E246+'Kiadások COFOG szerint'!E158+'Kiadások COFOG szerint'!E270</f>
        <v>3230537</v>
      </c>
      <c r="F68" s="261">
        <f>'Kiadások COFOG szerint'!F48+'Kiadások COFOG szerint'!F119+'Kiadások COFOG szerint'!F192+'Kiadások COFOG szerint'!F221+'Kiadások COFOG szerint'!F246+'Kiadások COFOG szerint'!F158+'Kiadások COFOG szerint'!F270</f>
        <v>855063</v>
      </c>
      <c r="G68" s="774">
        <f t="shared" si="7"/>
        <v>113.34777075870319</v>
      </c>
      <c r="H68" s="480">
        <f>'Kiadások COFOG szerint'!H48+'Kiadások COFOG szerint'!H119+'Kiadások COFOG szerint'!H192+'Kiadások COFOG szerint'!H221+'Kiadások COFOG szerint'!H246+'Kiadások COFOG szerint'!H158+'Kiadások COFOG szerint'!H270</f>
        <v>7261099</v>
      </c>
      <c r="I68" s="111"/>
      <c r="K68" s="96"/>
    </row>
    <row r="69" spans="1:13" ht="20.100000000000001" customHeight="1" x14ac:dyDescent="0.2">
      <c r="A69" s="49" t="s">
        <v>246</v>
      </c>
      <c r="B69" s="639" t="s">
        <v>247</v>
      </c>
      <c r="C69" s="485">
        <f>'Kiadások COFOG szerint'!C49+'Kiadások COFOG szerint'!C120+'Kiadások COFOG szerint'!C193+'Kiadások COFOG szerint'!C247+'Kiadások COFOG szerint'!C222</f>
        <v>504000</v>
      </c>
      <c r="D69" s="262">
        <v>2240022</v>
      </c>
      <c r="E69" s="261">
        <f>'Kiadások COFOG szerint'!E49+'Kiadások COFOG szerint'!E120+'Kiadások COFOG szerint'!E193+'Kiadások COFOG szerint'!E247+'Kiadások COFOG szerint'!E222+'Kiadások COFOG szerint'!E159+'Kiadások COFOG szerint'!E271</f>
        <v>1064651</v>
      </c>
      <c r="F69" s="261">
        <f>'Kiadások COFOG szerint'!F49+'Kiadások COFOG szerint'!F120+'Kiadások COFOG szerint'!F193+'Kiadások COFOG szerint'!F247+'Kiadások COFOG szerint'!F222+'Kiadások COFOG szerint'!F159+'Kiadások COFOG szerint'!F271</f>
        <v>253679</v>
      </c>
      <c r="G69" s="774">
        <f t="shared" si="7"/>
        <v>111.32484413099515</v>
      </c>
      <c r="H69" s="480">
        <f>'Kiadások COFOG szerint'!H49+'Kiadások COFOG szerint'!H120+'Kiadások COFOG szerint'!H193+'Kiadások COFOG szerint'!H247+'Kiadások COFOG szerint'!H222+'Kiadások COFOG szerint'!H159+'Kiadások COFOG szerint'!H271</f>
        <v>2493701</v>
      </c>
      <c r="I69" s="111"/>
    </row>
    <row r="70" spans="1:13" ht="20.100000000000001" customHeight="1" x14ac:dyDescent="0.2">
      <c r="A70" s="49" t="s">
        <v>248</v>
      </c>
      <c r="B70" s="639" t="s">
        <v>249</v>
      </c>
      <c r="C70" s="485">
        <f>'Kiadások COFOG szerint'!C84+'Kiadások COFOG szerint'!C139+'Kiadások COFOG szerint'!C153+'Kiadások COFOG szerint'!C194</f>
        <v>0</v>
      </c>
      <c r="D70" s="262">
        <v>135011005</v>
      </c>
      <c r="E70" s="261">
        <f>'Kiadások COFOG szerint'!E84+'Kiadások COFOG szerint'!E139+'Kiadások COFOG szerint'!E194</f>
        <v>42382734</v>
      </c>
      <c r="F70" s="261">
        <f>'Kiadások COFOG szerint'!F84+'Kiadások COFOG szerint'!F139+'Kiadások COFOG szerint'!F194</f>
        <v>4330022</v>
      </c>
      <c r="G70" s="774">
        <f t="shared" si="7"/>
        <v>103.20716226058757</v>
      </c>
      <c r="H70" s="480">
        <f>'Kiadások COFOG szerint'!H84+'Kiadások COFOG szerint'!H139+'Kiadások COFOG szerint'!H194</f>
        <v>139341027</v>
      </c>
      <c r="I70" s="111"/>
    </row>
    <row r="71" spans="1:13" ht="20.100000000000001" customHeight="1" x14ac:dyDescent="0.2">
      <c r="A71" s="49" t="s">
        <v>250</v>
      </c>
      <c r="B71" s="639" t="s">
        <v>251</v>
      </c>
      <c r="C71" s="485">
        <f>'Kiadások COFOG szerint'!C147+'Kiadások COFOG szerint'!C224</f>
        <v>7000000</v>
      </c>
      <c r="D71" s="262">
        <v>7000000</v>
      </c>
      <c r="E71" s="261">
        <f>'Kiadások COFOG szerint'!E147+'Kiadások COFOG szerint'!E224</f>
        <v>0</v>
      </c>
      <c r="F71" s="261">
        <f>'Kiadások COFOG szerint'!F147+'Kiadások COFOG szerint'!F224</f>
        <v>0</v>
      </c>
      <c r="G71" s="774">
        <f t="shared" si="7"/>
        <v>100</v>
      </c>
      <c r="H71" s="480">
        <f>'Kiadások COFOG szerint'!H147+'Kiadások COFOG szerint'!H224</f>
        <v>7000000</v>
      </c>
      <c r="I71" s="111"/>
    </row>
    <row r="72" spans="1:13" ht="20.100000000000001" customHeight="1" thickBot="1" x14ac:dyDescent="0.25">
      <c r="A72" s="53" t="s">
        <v>252</v>
      </c>
      <c r="B72" s="643" t="s">
        <v>253</v>
      </c>
      <c r="C72" s="486">
        <f>'Kiadások COFOG szerint'!C85+'Kiadások COFOG szerint'!C148+'Kiadások COFOG szerint'!C154+'Kiadások COFOG szerint'!C195+'Kiadások COFOG szerint'!C140</f>
        <v>1890000</v>
      </c>
      <c r="D72" s="605">
        <v>37883543</v>
      </c>
      <c r="E72" s="749">
        <f>'Kiadások COFOG szerint'!E85+'Kiadások COFOG szerint'!E148+'Kiadások COFOG szerint'!E195+'Kiadások COFOG szerint'!E140</f>
        <v>0</v>
      </c>
      <c r="F72" s="749">
        <f>'Kiadások COFOG szerint'!F85+'Kiadások COFOG szerint'!F148+'Kiadások COFOG szerint'!F195+'Kiadások COFOG szerint'!F140</f>
        <v>-8650000</v>
      </c>
      <c r="G72" s="774">
        <f t="shared" si="7"/>
        <v>77.166866361997876</v>
      </c>
      <c r="H72" s="482">
        <f>'Kiadások COFOG szerint'!H85+'Kiadások COFOG szerint'!H148+'Kiadások COFOG szerint'!H195+'Kiadások COFOG szerint'!H140</f>
        <v>29233543</v>
      </c>
      <c r="I72" s="111"/>
    </row>
    <row r="73" spans="1:13" ht="24.95" customHeight="1" thickBot="1" x14ac:dyDescent="0.25">
      <c r="A73" s="888" t="s">
        <v>254</v>
      </c>
      <c r="B73" s="889"/>
      <c r="C73" s="672">
        <f>SUM(C65:C72)</f>
        <v>11214000</v>
      </c>
      <c r="D73" s="673">
        <v>190442886</v>
      </c>
      <c r="E73" s="106">
        <f t="shared" ref="E73:F73" si="8">SUM(E65:E72)</f>
        <v>47390532</v>
      </c>
      <c r="F73" s="106">
        <f t="shared" si="8"/>
        <v>-3030189</v>
      </c>
      <c r="G73" s="786">
        <f t="shared" si="7"/>
        <v>98.408872568755328</v>
      </c>
      <c r="H73" s="107">
        <f>SUM(H65:H72)</f>
        <v>187412697</v>
      </c>
      <c r="I73" s="111"/>
    </row>
    <row r="74" spans="1:13" ht="24.95" customHeight="1" thickBot="1" x14ac:dyDescent="0.25">
      <c r="A74" s="113" t="s">
        <v>416</v>
      </c>
      <c r="B74" s="645" t="s">
        <v>417</v>
      </c>
      <c r="C74" s="795">
        <f>'Kiadások COFOG szerint'!C196</f>
        <v>0</v>
      </c>
      <c r="D74" s="798">
        <f>'Kiadások COFOG szerint'!D196</f>
        <v>0</v>
      </c>
      <c r="E74" s="798">
        <f>'Kiadások COFOG szerint'!E196</f>
        <v>0</v>
      </c>
      <c r="F74" s="798">
        <f>'Kiadások COFOG szerint'!F196</f>
        <v>0</v>
      </c>
      <c r="G74" s="786">
        <v>0</v>
      </c>
      <c r="H74" s="114">
        <f>'Kiadások COFOG szerint'!H196</f>
        <v>0</v>
      </c>
      <c r="I74" s="111"/>
    </row>
    <row r="75" spans="1:13" ht="24.95" customHeight="1" thickBot="1" x14ac:dyDescent="0.25">
      <c r="A75" s="113" t="s">
        <v>757</v>
      </c>
      <c r="B75" s="645" t="s">
        <v>758</v>
      </c>
      <c r="C75" s="795">
        <f>SUM('Kiadások COFOG szerint'!C55)</f>
        <v>0</v>
      </c>
      <c r="D75" s="106">
        <f>SUM('Kiadások COFOG szerint'!D55)</f>
        <v>0</v>
      </c>
      <c r="E75" s="798">
        <f>SUM('Kiadások COFOG szerint'!E55)</f>
        <v>500000</v>
      </c>
      <c r="F75" s="798">
        <f>SUM('Kiadások COFOG szerint'!F55)</f>
        <v>1500000</v>
      </c>
      <c r="G75" s="786">
        <v>0</v>
      </c>
      <c r="H75" s="114">
        <f>SUM('Kiadások COFOG szerint'!H55)</f>
        <v>1500000</v>
      </c>
      <c r="I75" s="111"/>
    </row>
    <row r="76" spans="1:13" ht="24.95" customHeight="1" thickBot="1" x14ac:dyDescent="0.25">
      <c r="A76" s="115" t="s">
        <v>40</v>
      </c>
      <c r="B76" s="646" t="s">
        <v>256</v>
      </c>
      <c r="C76" s="796">
        <f>'Kiadások COFOG szerint'!C104</f>
        <v>9750886</v>
      </c>
      <c r="D76" s="799">
        <v>9750886</v>
      </c>
      <c r="E76" s="802">
        <f>'Kiadások COFOG szerint'!E104</f>
        <v>9750886</v>
      </c>
      <c r="F76" s="802">
        <f>'Kiadások COFOG szerint'!F104</f>
        <v>0</v>
      </c>
      <c r="G76" s="786">
        <f>SUM(H76/D76*100)</f>
        <v>100</v>
      </c>
      <c r="H76" s="116">
        <f>'Kiadások COFOG szerint'!H104</f>
        <v>9750886</v>
      </c>
      <c r="I76" s="111"/>
    </row>
    <row r="77" spans="1:13" ht="24.95" customHeight="1" thickBot="1" x14ac:dyDescent="0.25">
      <c r="A77" s="117" t="s">
        <v>257</v>
      </c>
      <c r="B77" s="646" t="s">
        <v>258</v>
      </c>
      <c r="C77" s="795">
        <f>'Kiadások COFOG szerint'!C110</f>
        <v>221309261</v>
      </c>
      <c r="D77" s="106">
        <v>228287193</v>
      </c>
      <c r="E77" s="798">
        <f>SUM('Kiadások COFOG szerint'!E110)</f>
        <v>175044300</v>
      </c>
      <c r="F77" s="798">
        <f>SUM('Kiadások COFOG szerint'!F110)</f>
        <v>1840347</v>
      </c>
      <c r="G77" s="786">
        <f>SUM(H77/D77*100)</f>
        <v>100.80615429004816</v>
      </c>
      <c r="H77" s="114">
        <f>SUM('Kiadások COFOG szerint'!H110)</f>
        <v>230127540</v>
      </c>
      <c r="I77" s="111"/>
      <c r="M77" s="70"/>
    </row>
    <row r="78" spans="1:13" ht="24.95" customHeight="1" thickBot="1" x14ac:dyDescent="0.25">
      <c r="A78" s="890" t="s">
        <v>35</v>
      </c>
      <c r="B78" s="647" t="s">
        <v>259</v>
      </c>
      <c r="C78" s="797">
        <f>'Kiadások COFOG szerint'!C43</f>
        <v>17920923</v>
      </c>
      <c r="D78" s="800">
        <v>26140808</v>
      </c>
      <c r="E78" s="803">
        <f>'Kiadások COFOG szerint'!E43</f>
        <v>0</v>
      </c>
      <c r="F78" s="803">
        <f>'Kiadások COFOG szerint'!F43</f>
        <v>20822605</v>
      </c>
      <c r="G78" s="806">
        <f>SUM(H78/D78*100)</f>
        <v>179.65555234558931</v>
      </c>
      <c r="H78" s="649">
        <f>'Kiadások COFOG szerint'!H43</f>
        <v>46963413</v>
      </c>
      <c r="I78" s="111"/>
    </row>
    <row r="79" spans="1:13" ht="20.25" customHeight="1" thickBot="1" x14ac:dyDescent="0.25">
      <c r="A79" s="890"/>
      <c r="B79" s="648" t="s">
        <v>260</v>
      </c>
      <c r="C79" s="362">
        <f>'Kiadások COFOG szerint'!C44</f>
        <v>232626378</v>
      </c>
      <c r="D79" s="801">
        <v>0</v>
      </c>
      <c r="E79" s="804">
        <f>'Kiadások COFOG szerint'!E44</f>
        <v>0</v>
      </c>
      <c r="F79" s="804">
        <f>'Kiadások COFOG szerint'!F44</f>
        <v>0</v>
      </c>
      <c r="G79" s="805">
        <v>0</v>
      </c>
      <c r="H79" s="650">
        <f>'Kiadások COFOG szerint'!H44</f>
        <v>0</v>
      </c>
      <c r="I79" s="111"/>
    </row>
    <row r="80" spans="1:13" ht="22.5" customHeight="1" thickBot="1" x14ac:dyDescent="0.3">
      <c r="A80" s="891" t="s">
        <v>261</v>
      </c>
      <c r="B80" s="891"/>
      <c r="C80" s="807">
        <f>C19+C21+C50+C58+C64+C73+C74+C76+C77+C78+C79</f>
        <v>667551738</v>
      </c>
      <c r="D80" s="808">
        <f>D19+D21+D50+D58+D64+D73+D74+D76+D77+D78+D79</f>
        <v>688212242</v>
      </c>
      <c r="E80" s="808">
        <f>E19+E21+E50+E58+E64+E73+E74+E76+E77+E78+E79+E75</f>
        <v>419812275</v>
      </c>
      <c r="F80" s="808">
        <f>F19+F21+F50+F58+F64+F73+F74+F76+F77+F78+F79+F75</f>
        <v>42713299</v>
      </c>
      <c r="G80" s="674">
        <f>H80/D80*100</f>
        <v>106.2064137185168</v>
      </c>
      <c r="H80" s="118">
        <f>H19+H21+H50+H58+H64+H73+H74+H76+H77+H78+H79+H75</f>
        <v>730925541</v>
      </c>
      <c r="I80" s="111"/>
    </row>
    <row r="83" spans="2:8" x14ac:dyDescent="0.2">
      <c r="B83" s="102" t="s">
        <v>374</v>
      </c>
      <c r="C83" s="242">
        <f>C80-'Kiadások COFOG szerint'!C323</f>
        <v>0</v>
      </c>
      <c r="D83" s="242">
        <f>D80-'Kiadások COFOG szerint'!D323</f>
        <v>0</v>
      </c>
      <c r="E83" s="242">
        <f>E80-'Kiadások COFOG szerint'!E323</f>
        <v>0</v>
      </c>
      <c r="F83" s="242">
        <f>F80-'Kiadások COFOG szerint'!F323</f>
        <v>0</v>
      </c>
      <c r="G83" s="242"/>
      <c r="H83" s="242">
        <f>H80-'Kiadások COFOG szerint'!H323</f>
        <v>0</v>
      </c>
    </row>
  </sheetData>
  <sheetProtection algorithmName="SHA-512" hashValue="ab7XZxb0SFZ7Vnv7ddy+QiUb/nmzvWi3ZKWptQvup833WgRGvDmKiHF18g9KIHr8tUKkBaB4t/mpHIF36pG5Ng==" saltValue="r14NF40n3cUfF0p/SSHvBQ==" spinCount="100000" sheet="1" objects="1" scenarios="1"/>
  <mergeCells count="14">
    <mergeCell ref="A80:B80"/>
    <mergeCell ref="A21:B21"/>
    <mergeCell ref="A19:B19"/>
    <mergeCell ref="A2:H2"/>
    <mergeCell ref="A3:H3"/>
    <mergeCell ref="A5:H5"/>
    <mergeCell ref="A6:A7"/>
    <mergeCell ref="B6:B7"/>
    <mergeCell ref="C6:H6"/>
    <mergeCell ref="A64:B64"/>
    <mergeCell ref="A58:B58"/>
    <mergeCell ref="A50:B50"/>
    <mergeCell ref="A73:B73"/>
    <mergeCell ref="A78:A79"/>
  </mergeCells>
  <pageMargins left="0.98425196850393704" right="0.59055118110236227" top="0.59055118110236227" bottom="0.59055118110236227" header="0.51181102362204722" footer="0.51181102362204722"/>
  <pageSetup paperSize="9" scale="64" firstPageNumber="0" fitToHeight="0" orientation="portrait" verticalDpi="300" r:id="rId1"/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5"/>
  <sheetViews>
    <sheetView topLeftCell="A61" zoomScaleNormal="100" workbookViewId="0">
      <selection activeCell="C91" sqref="C91"/>
    </sheetView>
  </sheetViews>
  <sheetFormatPr defaultRowHeight="12.75" x14ac:dyDescent="0.2"/>
  <cols>
    <col min="1" max="1" width="12.28515625" customWidth="1"/>
    <col min="2" max="2" width="35.5703125" customWidth="1"/>
    <col min="3" max="5" width="14.140625" customWidth="1"/>
    <col min="6" max="6" width="15.42578125" customWidth="1"/>
    <col min="7" max="7" width="12.5703125" customWidth="1"/>
    <col min="8" max="8" width="16" style="71" customWidth="1"/>
    <col min="9" max="9" width="12.42578125" customWidth="1"/>
    <col min="10" max="10" width="11.7109375" style="69" customWidth="1"/>
    <col min="11" max="11" width="3.42578125" customWidth="1"/>
    <col min="12" max="12" width="8.42578125" customWidth="1"/>
    <col min="13" max="13" width="11.85546875" customWidth="1"/>
    <col min="14" max="14" width="12.5703125" customWidth="1"/>
    <col min="15" max="15" width="8.42578125" customWidth="1"/>
    <col min="16" max="16" width="10.5703125" customWidth="1"/>
    <col min="17" max="17" width="12.42578125" customWidth="1"/>
    <col min="18" max="1026" width="8.42578125" customWidth="1"/>
  </cols>
  <sheetData>
    <row r="1" spans="1:13" x14ac:dyDescent="0.2">
      <c r="G1" s="915" t="s">
        <v>262</v>
      </c>
      <c r="H1" s="916"/>
    </row>
    <row r="2" spans="1:13" ht="15.75" x14ac:dyDescent="0.25">
      <c r="A2" s="850" t="s">
        <v>747</v>
      </c>
      <c r="B2" s="850"/>
      <c r="C2" s="850"/>
      <c r="D2" s="850"/>
      <c r="E2" s="850"/>
      <c r="F2" s="850"/>
      <c r="G2" s="850"/>
      <c r="H2" s="850"/>
    </row>
    <row r="3" spans="1:13" ht="15.75" x14ac:dyDescent="0.25">
      <c r="A3" s="850" t="s">
        <v>386</v>
      </c>
      <c r="B3" s="850"/>
      <c r="C3" s="850"/>
      <c r="D3" s="850"/>
      <c r="E3" s="850"/>
      <c r="F3" s="850"/>
      <c r="G3" s="850"/>
      <c r="H3" s="850"/>
    </row>
    <row r="4" spans="1:13" ht="21.75" customHeight="1" x14ac:dyDescent="0.2">
      <c r="H4" s="44"/>
    </row>
    <row r="5" spans="1:13" ht="18" customHeight="1" x14ac:dyDescent="0.2">
      <c r="A5" s="920" t="s">
        <v>263</v>
      </c>
      <c r="B5" s="920"/>
      <c r="C5" s="920"/>
      <c r="D5" s="920"/>
      <c r="E5" s="920"/>
      <c r="F5" s="920"/>
      <c r="G5" s="920"/>
      <c r="H5" s="920"/>
      <c r="J5" s="101"/>
    </row>
    <row r="6" spans="1:13" s="34" customFormat="1" ht="18" customHeight="1" thickBot="1" x14ac:dyDescent="0.25">
      <c r="A6" s="73"/>
      <c r="B6" s="73"/>
      <c r="C6" s="73"/>
      <c r="D6" s="73"/>
      <c r="E6" s="73"/>
      <c r="F6" s="73"/>
      <c r="G6" s="73"/>
      <c r="H6" s="73"/>
      <c r="J6" s="119"/>
    </row>
    <row r="7" spans="1:13" ht="23.25" customHeight="1" thickBot="1" x14ac:dyDescent="0.25">
      <c r="A7" s="857" t="s">
        <v>112</v>
      </c>
      <c r="B7" s="857"/>
      <c r="C7" s="857"/>
      <c r="D7" s="857"/>
      <c r="E7" s="857"/>
      <c r="F7" s="857"/>
      <c r="G7" s="857"/>
      <c r="H7" s="857"/>
    </row>
    <row r="8" spans="1:13" ht="17.25" customHeight="1" thickBot="1" x14ac:dyDescent="0.25">
      <c r="A8" s="921" t="s">
        <v>45</v>
      </c>
      <c r="B8" s="922" t="s">
        <v>46</v>
      </c>
      <c r="C8" s="898">
        <v>2023</v>
      </c>
      <c r="D8" s="899"/>
      <c r="E8" s="899"/>
      <c r="F8" s="899"/>
      <c r="G8" s="899"/>
      <c r="H8" s="902"/>
    </row>
    <row r="9" spans="1:13" ht="24.75" customHeight="1" thickBot="1" x14ac:dyDescent="0.25">
      <c r="A9" s="921"/>
      <c r="B9" s="922"/>
      <c r="C9" s="120" t="s">
        <v>47</v>
      </c>
      <c r="D9" s="120" t="s">
        <v>732</v>
      </c>
      <c r="E9" s="120" t="s">
        <v>746</v>
      </c>
      <c r="F9" s="120" t="s">
        <v>504</v>
      </c>
      <c r="G9" s="120" t="s">
        <v>380</v>
      </c>
      <c r="H9" s="384" t="s">
        <v>745</v>
      </c>
    </row>
    <row r="10" spans="1:13" ht="15" customHeight="1" x14ac:dyDescent="0.2">
      <c r="A10" s="121" t="s">
        <v>139</v>
      </c>
      <c r="B10" s="122" t="s">
        <v>264</v>
      </c>
      <c r="C10" s="123">
        <v>0</v>
      </c>
      <c r="D10" s="123">
        <v>0</v>
      </c>
      <c r="E10" s="123">
        <v>4191257</v>
      </c>
      <c r="F10" s="123">
        <f>H10-D10</f>
        <v>4191257</v>
      </c>
      <c r="G10" s="272">
        <v>0</v>
      </c>
      <c r="H10" s="124">
        <f>'Kiadások részletes COFOG'!F14</f>
        <v>4191257</v>
      </c>
      <c r="I10" s="762">
        <f t="shared" ref="I10:I66" si="0">SUM(E10/H10*100)</f>
        <v>100</v>
      </c>
      <c r="J10" s="69">
        <f>SUM(H10-E10)</f>
        <v>0</v>
      </c>
    </row>
    <row r="11" spans="1:13" ht="15" customHeight="1" x14ac:dyDescent="0.2">
      <c r="A11" s="282" t="s">
        <v>286</v>
      </c>
      <c r="B11" s="122" t="s">
        <v>287</v>
      </c>
      <c r="C11" s="123">
        <v>0</v>
      </c>
      <c r="D11" s="123">
        <v>0</v>
      </c>
      <c r="E11" s="123"/>
      <c r="F11" s="123">
        <f>H11-C11</f>
        <v>0</v>
      </c>
      <c r="G11" s="272"/>
      <c r="H11" s="124">
        <v>0</v>
      </c>
      <c r="I11" s="762"/>
      <c r="J11" s="69">
        <f t="shared" ref="J11:J66" si="1">SUM(H11-E11)</f>
        <v>0</v>
      </c>
    </row>
    <row r="12" spans="1:13" ht="15" customHeight="1" x14ac:dyDescent="0.2">
      <c r="A12" s="282" t="s">
        <v>420</v>
      </c>
      <c r="B12" s="122" t="s">
        <v>478</v>
      </c>
      <c r="C12" s="123"/>
      <c r="D12" s="123"/>
      <c r="E12" s="123"/>
      <c r="F12" s="123"/>
      <c r="G12" s="272"/>
      <c r="H12" s="124"/>
      <c r="I12" s="762"/>
      <c r="J12" s="69">
        <f t="shared" si="1"/>
        <v>0</v>
      </c>
    </row>
    <row r="13" spans="1:13" ht="15" customHeight="1" x14ac:dyDescent="0.2">
      <c r="A13" s="125" t="s">
        <v>143</v>
      </c>
      <c r="B13" s="77" t="s">
        <v>144</v>
      </c>
      <c r="C13" s="91">
        <v>0</v>
      </c>
      <c r="D13" s="123"/>
      <c r="E13" s="123"/>
      <c r="F13" s="123">
        <f>H13-C13</f>
        <v>0</v>
      </c>
      <c r="G13" s="272"/>
      <c r="H13" s="92"/>
      <c r="I13" s="762"/>
      <c r="J13" s="69">
        <f t="shared" si="1"/>
        <v>0</v>
      </c>
      <c r="M13" s="126"/>
    </row>
    <row r="14" spans="1:13" ht="15" customHeight="1" x14ac:dyDescent="0.2">
      <c r="A14" s="76" t="s">
        <v>149</v>
      </c>
      <c r="B14" s="77" t="s">
        <v>150</v>
      </c>
      <c r="C14" s="91">
        <v>21310000</v>
      </c>
      <c r="D14" s="123">
        <v>21310000</v>
      </c>
      <c r="E14" s="123">
        <v>15117075</v>
      </c>
      <c r="F14" s="123">
        <f>H14-D14</f>
        <v>0</v>
      </c>
      <c r="G14" s="272">
        <f>H14/D14*100</f>
        <v>100</v>
      </c>
      <c r="H14" s="92">
        <f>'Kiadások részletes COFOG'!F25</f>
        <v>21310000</v>
      </c>
      <c r="I14" s="762">
        <f>SUM(E14/H14*100)</f>
        <v>70.938878460816525</v>
      </c>
      <c r="J14" s="69">
        <f t="shared" si="1"/>
        <v>6192925</v>
      </c>
    </row>
    <row r="15" spans="1:13" ht="22.5" customHeight="1" x14ac:dyDescent="0.2">
      <c r="A15" s="76" t="s">
        <v>151</v>
      </c>
      <c r="B15" s="77" t="s">
        <v>152</v>
      </c>
      <c r="C15" s="91">
        <v>1800000</v>
      </c>
      <c r="D15" s="123">
        <v>1800000</v>
      </c>
      <c r="E15" s="123">
        <v>1233425</v>
      </c>
      <c r="F15" s="123">
        <f t="shared" ref="F15:F16" si="2">H15-D15</f>
        <v>0</v>
      </c>
      <c r="G15" s="272">
        <f t="shared" ref="G15:G16" si="3">H15/D15*100</f>
        <v>100</v>
      </c>
      <c r="H15" s="92">
        <f>'Kiadások részletes COFOG'!F31</f>
        <v>1800000</v>
      </c>
      <c r="I15" s="762">
        <f t="shared" si="0"/>
        <v>68.523611111111109</v>
      </c>
      <c r="J15" s="69">
        <f t="shared" si="1"/>
        <v>566575</v>
      </c>
    </row>
    <row r="16" spans="1:13" ht="15" customHeight="1" x14ac:dyDescent="0.2">
      <c r="A16" s="99" t="s">
        <v>395</v>
      </c>
      <c r="B16" s="77" t="s">
        <v>394</v>
      </c>
      <c r="C16" s="91">
        <v>250000</v>
      </c>
      <c r="D16" s="123">
        <v>1000000</v>
      </c>
      <c r="E16" s="123">
        <v>1696145</v>
      </c>
      <c r="F16" s="123">
        <f t="shared" si="2"/>
        <v>700000</v>
      </c>
      <c r="G16" s="272">
        <f t="shared" si="3"/>
        <v>170</v>
      </c>
      <c r="H16" s="92">
        <f>'Kiadások részletes COFOG'!F32</f>
        <v>1700000</v>
      </c>
      <c r="I16" s="762">
        <f t="shared" si="0"/>
        <v>99.77323529411764</v>
      </c>
      <c r="J16" s="69">
        <f t="shared" si="1"/>
        <v>3855</v>
      </c>
    </row>
    <row r="17" spans="1:10" x14ac:dyDescent="0.2">
      <c r="A17" s="918"/>
      <c r="B17" s="919"/>
      <c r="C17" s="423">
        <f>SUM(C13:C16)</f>
        <v>23360000</v>
      </c>
      <c r="D17" s="423">
        <f t="shared" ref="D17" si="4">SUM(D13:D16)</f>
        <v>24110000</v>
      </c>
      <c r="E17" s="423">
        <f>SUM(E10:E16)</f>
        <v>22237902</v>
      </c>
      <c r="F17" s="423">
        <f>SUM(F10:F16)</f>
        <v>4891257</v>
      </c>
      <c r="G17" s="424">
        <f>H17/D17*100</f>
        <v>120.28725425134799</v>
      </c>
      <c r="H17" s="425">
        <f>SUM(H10:H16)</f>
        <v>29001257</v>
      </c>
      <c r="I17" s="762"/>
    </row>
    <row r="18" spans="1:10" ht="15" customHeight="1" x14ac:dyDescent="0.2">
      <c r="A18" s="76" t="s">
        <v>155</v>
      </c>
      <c r="B18" s="77" t="s">
        <v>156</v>
      </c>
      <c r="C18" s="91">
        <v>3100000</v>
      </c>
      <c r="D18" s="123">
        <v>3300000</v>
      </c>
      <c r="E18" s="123">
        <v>2914671</v>
      </c>
      <c r="F18" s="123">
        <f>H18-D18</f>
        <v>700000</v>
      </c>
      <c r="G18" s="272">
        <f>H18/D18*100</f>
        <v>121.21212121212122</v>
      </c>
      <c r="H18" s="92">
        <f>SUM('Kiadások részletes COFOG'!F36)</f>
        <v>4000000</v>
      </c>
      <c r="I18" s="762">
        <f t="shared" si="0"/>
        <v>72.86677499999999</v>
      </c>
      <c r="J18" s="69">
        <f t="shared" si="1"/>
        <v>1085329</v>
      </c>
    </row>
    <row r="19" spans="1:10" x14ac:dyDescent="0.2">
      <c r="A19" s="918"/>
      <c r="B19" s="919"/>
      <c r="C19" s="423">
        <f>SUM(C18)</f>
        <v>3100000</v>
      </c>
      <c r="D19" s="423">
        <f t="shared" ref="D19:E19" si="5">SUM(D18)</f>
        <v>3300000</v>
      </c>
      <c r="E19" s="423">
        <f t="shared" si="5"/>
        <v>2914671</v>
      </c>
      <c r="F19" s="423">
        <f>SUM(F18:F18)</f>
        <v>700000</v>
      </c>
      <c r="G19" s="424">
        <f>H19/D19*100</f>
        <v>121.21212121212122</v>
      </c>
      <c r="H19" s="425">
        <f>SUM(H18:H18)</f>
        <v>4000000</v>
      </c>
      <c r="I19" s="762"/>
    </row>
    <row r="20" spans="1:10" ht="15" customHeight="1" x14ac:dyDescent="0.2">
      <c r="A20" s="76" t="s">
        <v>159</v>
      </c>
      <c r="B20" s="77" t="s">
        <v>387</v>
      </c>
      <c r="C20" s="91">
        <v>200000</v>
      </c>
      <c r="D20" s="123">
        <v>200000</v>
      </c>
      <c r="E20" s="123">
        <v>52610</v>
      </c>
      <c r="F20" s="123">
        <f>H20-D20</f>
        <v>0</v>
      </c>
      <c r="G20" s="272">
        <f>H20/D20*100</f>
        <v>100</v>
      </c>
      <c r="H20" s="92">
        <f>'Kiadások részletes COFOG'!F40</f>
        <v>200000</v>
      </c>
      <c r="I20" s="762">
        <f t="shared" si="0"/>
        <v>26.305</v>
      </c>
      <c r="J20" s="69">
        <f t="shared" si="1"/>
        <v>147390</v>
      </c>
    </row>
    <row r="21" spans="1:10" ht="15" customHeight="1" x14ac:dyDescent="0.2">
      <c r="A21" s="76" t="s">
        <v>167</v>
      </c>
      <c r="B21" s="77" t="s">
        <v>168</v>
      </c>
      <c r="C21" s="91">
        <v>2000000</v>
      </c>
      <c r="D21" s="123">
        <v>2000000</v>
      </c>
      <c r="E21" s="123">
        <v>1924283</v>
      </c>
      <c r="F21" s="123">
        <f>H21-D21</f>
        <v>0</v>
      </c>
      <c r="G21" s="272">
        <f t="shared" ref="G21:G37" si="6">H21/D21*100</f>
        <v>100</v>
      </c>
      <c r="H21" s="92">
        <f>'Kiadások részletes COFOG'!F45</f>
        <v>2000000</v>
      </c>
      <c r="I21" s="762">
        <f t="shared" si="0"/>
        <v>96.214150000000004</v>
      </c>
      <c r="J21" s="69">
        <f t="shared" si="1"/>
        <v>75717</v>
      </c>
    </row>
    <row r="22" spans="1:10" ht="15" customHeight="1" x14ac:dyDescent="0.2">
      <c r="A22" s="76" t="s">
        <v>181</v>
      </c>
      <c r="B22" s="77" t="s">
        <v>388</v>
      </c>
      <c r="C22" s="91">
        <v>2040000</v>
      </c>
      <c r="D22" s="123">
        <v>2040000</v>
      </c>
      <c r="E22" s="123">
        <v>1744227</v>
      </c>
      <c r="F22" s="123">
        <f t="shared" ref="F22:F36" si="7">H22-D22</f>
        <v>0</v>
      </c>
      <c r="G22" s="272">
        <f t="shared" si="6"/>
        <v>100</v>
      </c>
      <c r="H22" s="92">
        <f>'Kiadások részletes COFOG'!F49</f>
        <v>2040000</v>
      </c>
      <c r="I22" s="762">
        <f t="shared" si="0"/>
        <v>85.501323529411764</v>
      </c>
      <c r="J22" s="69">
        <f t="shared" si="1"/>
        <v>295773</v>
      </c>
    </row>
    <row r="23" spans="1:10" ht="15" customHeight="1" x14ac:dyDescent="0.2">
      <c r="A23" s="76" t="s">
        <v>182</v>
      </c>
      <c r="B23" s="77" t="s">
        <v>183</v>
      </c>
      <c r="C23" s="91">
        <v>264000</v>
      </c>
      <c r="D23" s="123">
        <v>264000</v>
      </c>
      <c r="E23" s="123">
        <v>215976</v>
      </c>
      <c r="F23" s="123">
        <f t="shared" si="7"/>
        <v>0</v>
      </c>
      <c r="G23" s="272">
        <f t="shared" si="6"/>
        <v>100</v>
      </c>
      <c r="H23" s="92">
        <f>'Kiadások részletes COFOG'!F51</f>
        <v>264000</v>
      </c>
      <c r="I23" s="762">
        <f t="shared" si="0"/>
        <v>81.809090909090912</v>
      </c>
      <c r="J23" s="69">
        <f t="shared" si="1"/>
        <v>48024</v>
      </c>
    </row>
    <row r="24" spans="1:10" ht="15" customHeight="1" x14ac:dyDescent="0.2">
      <c r="A24" s="99" t="s">
        <v>184</v>
      </c>
      <c r="B24" s="77" t="s">
        <v>285</v>
      </c>
      <c r="C24" s="91">
        <v>2940000</v>
      </c>
      <c r="D24" s="123">
        <v>2940000</v>
      </c>
      <c r="E24" s="123">
        <f>SUM(E25:E27)</f>
        <v>1332939</v>
      </c>
      <c r="F24" s="123">
        <f t="shared" si="7"/>
        <v>0</v>
      </c>
      <c r="G24" s="272">
        <f t="shared" si="6"/>
        <v>100</v>
      </c>
      <c r="H24" s="92">
        <f>SUM(H25:H27)</f>
        <v>2940000</v>
      </c>
      <c r="I24" s="762">
        <f t="shared" si="0"/>
        <v>45.338061224489792</v>
      </c>
      <c r="J24" s="69">
        <f t="shared" si="1"/>
        <v>1607061</v>
      </c>
    </row>
    <row r="25" spans="1:10" ht="15" customHeight="1" x14ac:dyDescent="0.2">
      <c r="A25" s="76" t="s">
        <v>186</v>
      </c>
      <c r="B25" s="77" t="s">
        <v>265</v>
      </c>
      <c r="C25" s="91">
        <v>420000</v>
      </c>
      <c r="D25" s="123">
        <v>420000</v>
      </c>
      <c r="E25" s="123">
        <v>278366</v>
      </c>
      <c r="F25" s="123">
        <f t="shared" si="7"/>
        <v>0</v>
      </c>
      <c r="G25" s="272">
        <f t="shared" si="6"/>
        <v>100</v>
      </c>
      <c r="H25" s="92">
        <f>'Kiadások részletes COFOG'!F52</f>
        <v>420000</v>
      </c>
      <c r="I25" s="762">
        <f t="shared" si="0"/>
        <v>66.277619047619055</v>
      </c>
      <c r="J25" s="69">
        <f t="shared" si="1"/>
        <v>141634</v>
      </c>
    </row>
    <row r="26" spans="1:10" ht="15" customHeight="1" x14ac:dyDescent="0.2">
      <c r="A26" s="76" t="s">
        <v>188</v>
      </c>
      <c r="B26" s="77" t="s">
        <v>266</v>
      </c>
      <c r="C26" s="91">
        <v>2400000</v>
      </c>
      <c r="D26" s="123">
        <v>2400000</v>
      </c>
      <c r="E26" s="123">
        <v>962436</v>
      </c>
      <c r="F26" s="123">
        <f t="shared" si="7"/>
        <v>0</v>
      </c>
      <c r="G26" s="272">
        <f t="shared" si="6"/>
        <v>100</v>
      </c>
      <c r="H26" s="92">
        <f>'Kiadások részletes COFOG'!F53</f>
        <v>2400000</v>
      </c>
      <c r="I26" s="762">
        <f t="shared" si="0"/>
        <v>40.101500000000001</v>
      </c>
      <c r="J26" s="69">
        <f t="shared" si="1"/>
        <v>1437564</v>
      </c>
    </row>
    <row r="27" spans="1:10" ht="15" customHeight="1" x14ac:dyDescent="0.2">
      <c r="A27" s="99" t="s">
        <v>184</v>
      </c>
      <c r="B27" s="77" t="s">
        <v>389</v>
      </c>
      <c r="C27" s="91">
        <v>120000</v>
      </c>
      <c r="D27" s="123">
        <v>120000</v>
      </c>
      <c r="E27" s="123">
        <v>92137</v>
      </c>
      <c r="F27" s="123">
        <f t="shared" si="7"/>
        <v>0</v>
      </c>
      <c r="G27" s="272">
        <f t="shared" si="6"/>
        <v>100</v>
      </c>
      <c r="H27" s="92">
        <f>'Kiadások részletes COFOG'!F54</f>
        <v>120000</v>
      </c>
      <c r="I27" s="762">
        <f t="shared" si="0"/>
        <v>76.780833333333334</v>
      </c>
      <c r="J27" s="69">
        <f t="shared" si="1"/>
        <v>27863</v>
      </c>
    </row>
    <row r="28" spans="1:10" x14ac:dyDescent="0.2">
      <c r="A28" s="76" t="s">
        <v>194</v>
      </c>
      <c r="B28" s="77" t="s">
        <v>195</v>
      </c>
      <c r="C28" s="91">
        <v>150000</v>
      </c>
      <c r="D28" s="123">
        <v>150000</v>
      </c>
      <c r="E28" s="123">
        <v>86563</v>
      </c>
      <c r="F28" s="123">
        <f t="shared" si="7"/>
        <v>0</v>
      </c>
      <c r="G28" s="272">
        <f t="shared" si="6"/>
        <v>100</v>
      </c>
      <c r="H28" s="92">
        <f>'Kiadások részletes COFOG'!F59</f>
        <v>150000</v>
      </c>
      <c r="I28" s="762">
        <f t="shared" si="0"/>
        <v>57.708666666666666</v>
      </c>
      <c r="J28" s="69">
        <f t="shared" si="1"/>
        <v>63437</v>
      </c>
    </row>
    <row r="29" spans="1:10" ht="15" customHeight="1" x14ac:dyDescent="0.2">
      <c r="A29" s="76" t="s">
        <v>196</v>
      </c>
      <c r="B29" s="77" t="s">
        <v>197</v>
      </c>
      <c r="C29" s="91">
        <v>810000</v>
      </c>
      <c r="D29" s="123">
        <v>810000</v>
      </c>
      <c r="E29" s="123">
        <v>752382</v>
      </c>
      <c r="F29" s="123">
        <f t="shared" si="7"/>
        <v>0</v>
      </c>
      <c r="G29" s="272">
        <f t="shared" si="6"/>
        <v>100</v>
      </c>
      <c r="H29" s="92">
        <f>'Kiadások részletes COFOG'!F63</f>
        <v>810000</v>
      </c>
      <c r="I29" s="762">
        <f t="shared" si="0"/>
        <v>92.886666666666656</v>
      </c>
      <c r="J29" s="69">
        <f t="shared" si="1"/>
        <v>57618</v>
      </c>
    </row>
    <row r="30" spans="1:10" ht="15" customHeight="1" x14ac:dyDescent="0.2">
      <c r="A30" s="99" t="s">
        <v>390</v>
      </c>
      <c r="B30" s="77" t="s">
        <v>391</v>
      </c>
      <c r="C30" s="91">
        <v>3000000</v>
      </c>
      <c r="D30" s="123">
        <v>3000000</v>
      </c>
      <c r="E30" s="123">
        <v>3503585</v>
      </c>
      <c r="F30" s="123">
        <f t="shared" si="7"/>
        <v>700000</v>
      </c>
      <c r="G30" s="272">
        <f t="shared" si="6"/>
        <v>123.33333333333334</v>
      </c>
      <c r="H30" s="92">
        <f>'Kiadások részletes COFOG'!F74</f>
        <v>3700000</v>
      </c>
      <c r="I30" s="762">
        <f t="shared" si="0"/>
        <v>94.691486486486482</v>
      </c>
      <c r="J30" s="69">
        <f t="shared" si="1"/>
        <v>196415</v>
      </c>
    </row>
    <row r="31" spans="1:10" ht="15" customHeight="1" x14ac:dyDescent="0.2">
      <c r="A31" s="76" t="s">
        <v>198</v>
      </c>
      <c r="B31" s="77" t="s">
        <v>199</v>
      </c>
      <c r="C31" s="91">
        <v>3160000</v>
      </c>
      <c r="D31" s="123">
        <v>3160000</v>
      </c>
      <c r="E31" s="123">
        <v>2645400</v>
      </c>
      <c r="F31" s="123">
        <f t="shared" si="7"/>
        <v>724400</v>
      </c>
      <c r="G31" s="272">
        <f t="shared" si="6"/>
        <v>122.92405063291139</v>
      </c>
      <c r="H31" s="92">
        <f>'Kiadások részletes COFOG'!F80</f>
        <v>3884400</v>
      </c>
      <c r="I31" s="762">
        <f t="shared" si="0"/>
        <v>68.103181958603642</v>
      </c>
      <c r="J31" s="69">
        <f t="shared" si="1"/>
        <v>1239000</v>
      </c>
    </row>
    <row r="32" spans="1:10" ht="15" customHeight="1" x14ac:dyDescent="0.2">
      <c r="A32" s="76" t="s">
        <v>202</v>
      </c>
      <c r="B32" s="77" t="s">
        <v>203</v>
      </c>
      <c r="C32" s="91">
        <v>5120000</v>
      </c>
      <c r="D32" s="123">
        <v>4176000</v>
      </c>
      <c r="E32" s="123">
        <v>2546999</v>
      </c>
      <c r="F32" s="123">
        <f t="shared" si="7"/>
        <v>0</v>
      </c>
      <c r="G32" s="272">
        <f t="shared" si="6"/>
        <v>100</v>
      </c>
      <c r="H32" s="92">
        <f>'Kiadások részletes COFOG'!F88</f>
        <v>4176000</v>
      </c>
      <c r="I32" s="762">
        <f t="shared" si="0"/>
        <v>60.991355363984681</v>
      </c>
      <c r="J32" s="69">
        <f t="shared" si="1"/>
        <v>1629001</v>
      </c>
    </row>
    <row r="33" spans="1:14" ht="15" customHeight="1" x14ac:dyDescent="0.2">
      <c r="A33" s="99" t="s">
        <v>267</v>
      </c>
      <c r="B33" s="77" t="s">
        <v>392</v>
      </c>
      <c r="C33" s="91">
        <v>0</v>
      </c>
      <c r="D33" s="123">
        <v>0</v>
      </c>
      <c r="E33" s="123">
        <v>0</v>
      </c>
      <c r="F33" s="123">
        <f t="shared" si="7"/>
        <v>0</v>
      </c>
      <c r="G33" s="272">
        <v>0</v>
      </c>
      <c r="H33" s="92">
        <f>SUM('Kiadások részletes COFOG'!F89)</f>
        <v>0</v>
      </c>
      <c r="I33" s="762"/>
    </row>
    <row r="34" spans="1:14" ht="21.75" customHeight="1" x14ac:dyDescent="0.2">
      <c r="A34" s="76" t="s">
        <v>210</v>
      </c>
      <c r="B34" s="77" t="s">
        <v>268</v>
      </c>
      <c r="C34" s="91">
        <v>4000000</v>
      </c>
      <c r="D34" s="123">
        <v>4200000</v>
      </c>
      <c r="E34" s="123">
        <v>2332815</v>
      </c>
      <c r="F34" s="123">
        <f t="shared" si="7"/>
        <v>0</v>
      </c>
      <c r="G34" s="272">
        <f t="shared" si="6"/>
        <v>100</v>
      </c>
      <c r="H34" s="92">
        <f>'Kiadások részletes COFOG'!F90</f>
        <v>4200000</v>
      </c>
      <c r="I34" s="762">
        <f t="shared" si="0"/>
        <v>55.543214285714285</v>
      </c>
      <c r="J34" s="69">
        <f t="shared" si="1"/>
        <v>1867185</v>
      </c>
      <c r="N34" s="69"/>
    </row>
    <row r="35" spans="1:14" ht="15" customHeight="1" x14ac:dyDescent="0.2">
      <c r="A35" s="76" t="s">
        <v>212</v>
      </c>
      <c r="B35" s="77" t="s">
        <v>213</v>
      </c>
      <c r="C35" s="91">
        <v>4400000</v>
      </c>
      <c r="D35" s="123">
        <v>4400000</v>
      </c>
      <c r="E35" s="123">
        <v>8091000</v>
      </c>
      <c r="F35" s="123">
        <f t="shared" si="7"/>
        <v>9820000</v>
      </c>
      <c r="G35" s="272">
        <f t="shared" si="6"/>
        <v>323.18181818181819</v>
      </c>
      <c r="H35" s="92">
        <f>SUM('Kiadások részletes COFOG'!F91)</f>
        <v>14220000</v>
      </c>
      <c r="I35" s="762">
        <f t="shared" si="0"/>
        <v>56.898734177215196</v>
      </c>
      <c r="J35" s="69">
        <f t="shared" si="1"/>
        <v>6129000</v>
      </c>
      <c r="N35" s="69"/>
    </row>
    <row r="36" spans="1:14" ht="15" customHeight="1" x14ac:dyDescent="0.2">
      <c r="A36" s="76" t="s">
        <v>214</v>
      </c>
      <c r="B36" s="77" t="s">
        <v>215</v>
      </c>
      <c r="C36" s="91">
        <v>10000</v>
      </c>
      <c r="D36" s="123">
        <v>10000</v>
      </c>
      <c r="E36" s="123">
        <v>0</v>
      </c>
      <c r="F36" s="123">
        <f t="shared" si="7"/>
        <v>0</v>
      </c>
      <c r="G36" s="272">
        <f t="shared" si="6"/>
        <v>100</v>
      </c>
      <c r="H36" s="92">
        <f>'Kiadások részletes COFOG'!F92</f>
        <v>10000</v>
      </c>
      <c r="I36" s="762">
        <f t="shared" si="0"/>
        <v>0</v>
      </c>
      <c r="J36" s="69">
        <f t="shared" si="1"/>
        <v>10000</v>
      </c>
    </row>
    <row r="37" spans="1:14" ht="15" customHeight="1" x14ac:dyDescent="0.2">
      <c r="A37" s="76" t="s">
        <v>216</v>
      </c>
      <c r="B37" s="77" t="s">
        <v>217</v>
      </c>
      <c r="C37" s="91">
        <v>430000</v>
      </c>
      <c r="D37" s="123">
        <v>630000</v>
      </c>
      <c r="E37" s="123">
        <v>544173</v>
      </c>
      <c r="F37" s="123">
        <f>H37-D37</f>
        <v>0</v>
      </c>
      <c r="G37" s="272">
        <f t="shared" si="6"/>
        <v>100</v>
      </c>
      <c r="H37" s="92">
        <f>'Kiadások részletes COFOG'!F98</f>
        <v>630000</v>
      </c>
      <c r="I37" s="762">
        <f t="shared" si="0"/>
        <v>86.376666666666665</v>
      </c>
      <c r="J37" s="69">
        <f t="shared" si="1"/>
        <v>85827</v>
      </c>
    </row>
    <row r="38" spans="1:14" x14ac:dyDescent="0.2">
      <c r="A38" s="918"/>
      <c r="B38" s="919"/>
      <c r="C38" s="423">
        <f>SUM(C20:C24,C28:C37)</f>
        <v>28524000</v>
      </c>
      <c r="D38" s="423">
        <f t="shared" ref="D38:E38" si="8">SUM(D20:D24,D28:D37)</f>
        <v>27980000</v>
      </c>
      <c r="E38" s="423">
        <f t="shared" si="8"/>
        <v>25772952</v>
      </c>
      <c r="F38" s="423">
        <f>SUM(F20:F24,F28:F37)</f>
        <v>11244400</v>
      </c>
      <c r="G38" s="424">
        <f>H38/D38*100</f>
        <v>140.18727662616155</v>
      </c>
      <c r="H38" s="425">
        <f>SUM(H20:H24,H28:H37)</f>
        <v>39224400</v>
      </c>
      <c r="I38" s="762"/>
    </row>
    <row r="39" spans="1:14" ht="24" customHeight="1" x14ac:dyDescent="0.2">
      <c r="A39" s="76" t="s">
        <v>229</v>
      </c>
      <c r="B39" s="77" t="s">
        <v>230</v>
      </c>
      <c r="C39" s="91">
        <v>0</v>
      </c>
      <c r="D39" s="123"/>
      <c r="E39" s="123"/>
      <c r="F39" s="123">
        <f t="shared" ref="F39:F40" si="9">H39-C39</f>
        <v>0</v>
      </c>
      <c r="G39" s="272"/>
      <c r="H39" s="92">
        <v>0</v>
      </c>
      <c r="I39" s="762"/>
    </row>
    <row r="40" spans="1:14" ht="31.5" customHeight="1" x14ac:dyDescent="0.2">
      <c r="A40" s="76" t="s">
        <v>231</v>
      </c>
      <c r="B40" s="77" t="s">
        <v>232</v>
      </c>
      <c r="C40" s="91"/>
      <c r="D40" s="123"/>
      <c r="E40" s="123"/>
      <c r="F40" s="123">
        <f t="shared" si="9"/>
        <v>0</v>
      </c>
      <c r="G40" s="272"/>
      <c r="H40" s="92"/>
      <c r="I40" s="762"/>
    </row>
    <row r="41" spans="1:14" ht="31.5" customHeight="1" x14ac:dyDescent="0.2">
      <c r="A41" s="99" t="s">
        <v>540</v>
      </c>
      <c r="B41" s="77" t="s">
        <v>541</v>
      </c>
      <c r="C41" s="91"/>
      <c r="D41" s="123"/>
      <c r="E41" s="123">
        <v>206036</v>
      </c>
      <c r="F41" s="123">
        <f>H41-D41</f>
        <v>206036</v>
      </c>
      <c r="G41" s="272">
        <v>0</v>
      </c>
      <c r="H41" s="92">
        <f>SUM('Kiadások részletes COFOG'!F103)</f>
        <v>206036</v>
      </c>
      <c r="I41" s="762">
        <f t="shared" si="0"/>
        <v>100</v>
      </c>
      <c r="J41" s="69">
        <f t="shared" si="1"/>
        <v>0</v>
      </c>
    </row>
    <row r="42" spans="1:14" ht="31.5" x14ac:dyDescent="0.2">
      <c r="A42" s="99" t="s">
        <v>236</v>
      </c>
      <c r="B42" s="77" t="s">
        <v>270</v>
      </c>
      <c r="C42" s="91"/>
      <c r="D42" s="123"/>
      <c r="E42" s="123"/>
      <c r="F42" s="123">
        <f t="shared" ref="F42:F44" si="10">H42-D42</f>
        <v>0</v>
      </c>
      <c r="G42" s="272"/>
      <c r="H42" s="92"/>
      <c r="I42" s="762"/>
    </row>
    <row r="43" spans="1:14" ht="15" customHeight="1" x14ac:dyDescent="0.2">
      <c r="A43" s="917" t="s">
        <v>35</v>
      </c>
      <c r="B43" s="77" t="s">
        <v>271</v>
      </c>
      <c r="C43" s="91">
        <v>17920923</v>
      </c>
      <c r="D43" s="123">
        <v>26140808</v>
      </c>
      <c r="E43" s="123"/>
      <c r="F43" s="123">
        <f t="shared" si="10"/>
        <v>20822605</v>
      </c>
      <c r="G43" s="272">
        <f>H43/D43*100</f>
        <v>179.65555234558931</v>
      </c>
      <c r="H43" s="92">
        <f>'Kiadások részletes COFOG'!F104</f>
        <v>46963413</v>
      </c>
      <c r="I43" s="762">
        <f t="shared" si="0"/>
        <v>0</v>
      </c>
      <c r="J43" s="69">
        <f t="shared" si="1"/>
        <v>46963413</v>
      </c>
    </row>
    <row r="44" spans="1:14" ht="15" customHeight="1" x14ac:dyDescent="0.2">
      <c r="A44" s="917"/>
      <c r="B44" s="77" t="s">
        <v>272</v>
      </c>
      <c r="C44" s="91">
        <v>232626378</v>
      </c>
      <c r="D44" s="123">
        <v>0</v>
      </c>
      <c r="E44" s="123"/>
      <c r="F44" s="123">
        <f t="shared" si="10"/>
        <v>0</v>
      </c>
      <c r="G44" s="272">
        <f>H44/C44*100</f>
        <v>0</v>
      </c>
      <c r="H44" s="92">
        <f>SUM('Kiadások részletes COFOG'!F105:F113)</f>
        <v>0</v>
      </c>
      <c r="I44" s="762"/>
    </row>
    <row r="45" spans="1:14" x14ac:dyDescent="0.2">
      <c r="A45" s="918"/>
      <c r="B45" s="919"/>
      <c r="C45" s="423">
        <f t="shared" ref="C45:D45" si="11">SUM(C39:C44)</f>
        <v>250547301</v>
      </c>
      <c r="D45" s="423">
        <f t="shared" si="11"/>
        <v>26140808</v>
      </c>
      <c r="E45" s="423">
        <f>SUM(E39:E44)</f>
        <v>206036</v>
      </c>
      <c r="F45" s="423">
        <f>SUM(F39:F44)</f>
        <v>21028641</v>
      </c>
      <c r="G45" s="424">
        <f>H45/D45*100</f>
        <v>180.44372997192741</v>
      </c>
      <c r="H45" s="425">
        <f>SUM(H39:H44)</f>
        <v>47169449</v>
      </c>
      <c r="I45" s="762"/>
    </row>
    <row r="46" spans="1:14" ht="15" customHeight="1" x14ac:dyDescent="0.2">
      <c r="A46" s="76" t="s">
        <v>238</v>
      </c>
      <c r="B46" s="77" t="s">
        <v>239</v>
      </c>
      <c r="C46" s="91">
        <v>1370000</v>
      </c>
      <c r="D46" s="123">
        <v>1370000</v>
      </c>
      <c r="E46" s="123">
        <v>0</v>
      </c>
      <c r="F46" s="123">
        <f>H46-D46</f>
        <v>0</v>
      </c>
      <c r="G46" s="272">
        <f>H46/D46*100</f>
        <v>100</v>
      </c>
      <c r="H46" s="92">
        <f>'Kiadások részletes COFOG'!F115</f>
        <v>1370000</v>
      </c>
      <c r="I46" s="762">
        <f t="shared" si="0"/>
        <v>0</v>
      </c>
      <c r="J46" s="69">
        <f t="shared" si="1"/>
        <v>1370000</v>
      </c>
    </row>
    <row r="47" spans="1:14" ht="16.5" customHeight="1" x14ac:dyDescent="0.2">
      <c r="A47" s="76" t="s">
        <v>242</v>
      </c>
      <c r="B47" s="77" t="s">
        <v>243</v>
      </c>
      <c r="C47" s="91">
        <v>150000</v>
      </c>
      <c r="D47" s="123">
        <v>150000</v>
      </c>
      <c r="E47" s="123">
        <v>248000</v>
      </c>
      <c r="F47" s="123">
        <f t="shared" ref="F47:F49" si="12">H47-D47</f>
        <v>98000</v>
      </c>
      <c r="G47" s="272">
        <f>H47/D47*100</f>
        <v>165.33333333333334</v>
      </c>
      <c r="H47" s="92">
        <f>'Kiadások részletes COFOG'!F116</f>
        <v>248000</v>
      </c>
      <c r="I47" s="762">
        <f t="shared" si="0"/>
        <v>100</v>
      </c>
      <c r="J47" s="69">
        <f t="shared" si="1"/>
        <v>0</v>
      </c>
    </row>
    <row r="48" spans="1:14" ht="15.75" customHeight="1" x14ac:dyDescent="0.2">
      <c r="A48" s="76" t="s">
        <v>244</v>
      </c>
      <c r="B48" s="77" t="s">
        <v>245</v>
      </c>
      <c r="C48" s="91">
        <v>100000</v>
      </c>
      <c r="D48" s="123">
        <v>100000</v>
      </c>
      <c r="E48" s="123">
        <v>0</v>
      </c>
      <c r="F48" s="123">
        <f t="shared" si="12"/>
        <v>0</v>
      </c>
      <c r="G48" s="272">
        <v>0</v>
      </c>
      <c r="H48" s="92">
        <f>'Kiadások részletes COFOG'!F117</f>
        <v>100000</v>
      </c>
      <c r="I48" s="762">
        <f t="shared" si="0"/>
        <v>0</v>
      </c>
      <c r="J48" s="69">
        <f t="shared" si="1"/>
        <v>100000</v>
      </c>
    </row>
    <row r="49" spans="1:11" ht="21" x14ac:dyDescent="0.2">
      <c r="A49" s="76" t="s">
        <v>246</v>
      </c>
      <c r="B49" s="77" t="s">
        <v>273</v>
      </c>
      <c r="C49" s="91">
        <v>450000</v>
      </c>
      <c r="D49" s="123">
        <v>440000</v>
      </c>
      <c r="E49" s="123">
        <v>66960</v>
      </c>
      <c r="F49" s="123">
        <f t="shared" si="12"/>
        <v>0</v>
      </c>
      <c r="G49" s="272">
        <f>H49/D49*100</f>
        <v>100</v>
      </c>
      <c r="H49" s="92">
        <f>'Kiadások részletes COFOG'!F118</f>
        <v>440000</v>
      </c>
      <c r="I49" s="762">
        <f t="shared" si="0"/>
        <v>15.218181818181817</v>
      </c>
      <c r="J49" s="69">
        <f t="shared" si="1"/>
        <v>373040</v>
      </c>
    </row>
    <row r="50" spans="1:11" x14ac:dyDescent="0.2">
      <c r="A50" s="918"/>
      <c r="B50" s="919"/>
      <c r="C50" s="423">
        <f>SUM(C46:C49)</f>
        <v>2070000</v>
      </c>
      <c r="D50" s="423">
        <f t="shared" ref="D50:E50" si="13">SUM(D46:D49)</f>
        <v>2060000</v>
      </c>
      <c r="E50" s="423">
        <f t="shared" si="13"/>
        <v>314960</v>
      </c>
      <c r="F50" s="423">
        <f t="shared" ref="F50" si="14">SUM(F46:F49)</f>
        <v>98000</v>
      </c>
      <c r="G50" s="424">
        <f>H50/D50*100</f>
        <v>104.75728155339806</v>
      </c>
      <c r="H50" s="425">
        <f>SUM(H46:H49)</f>
        <v>2158000</v>
      </c>
      <c r="I50" s="762"/>
    </row>
    <row r="51" spans="1:11" ht="15" customHeight="1" x14ac:dyDescent="0.2">
      <c r="A51" s="76" t="s">
        <v>248</v>
      </c>
      <c r="B51" s="77" t="s">
        <v>249</v>
      </c>
      <c r="C51" s="91">
        <v>0</v>
      </c>
      <c r="D51" s="123"/>
      <c r="E51" s="123"/>
      <c r="F51" s="123">
        <f>H51-C51</f>
        <v>0</v>
      </c>
      <c r="G51" s="272"/>
      <c r="H51" s="92">
        <f>'Kiadások részletes COFOG'!F121</f>
        <v>0</v>
      </c>
      <c r="I51" s="762"/>
    </row>
    <row r="52" spans="1:11" ht="21" x14ac:dyDescent="0.2">
      <c r="A52" s="79" t="s">
        <v>252</v>
      </c>
      <c r="B52" s="127" t="s">
        <v>274</v>
      </c>
      <c r="C52" s="363">
        <v>0</v>
      </c>
      <c r="D52" s="341"/>
      <c r="E52" s="341"/>
      <c r="F52" s="123">
        <f>H52-C52</f>
        <v>0</v>
      </c>
      <c r="G52" s="272"/>
      <c r="H52" s="84">
        <f>'Kiadások részletes COFOG'!F122</f>
        <v>0</v>
      </c>
      <c r="I52" s="762"/>
    </row>
    <row r="53" spans="1:11" x14ac:dyDescent="0.2">
      <c r="A53" s="918"/>
      <c r="B53" s="919"/>
      <c r="C53" s="423">
        <v>0</v>
      </c>
      <c r="D53" s="423"/>
      <c r="E53" s="423"/>
      <c r="F53" s="423">
        <f t="shared" ref="F53" si="15">SUM(F51:F52)</f>
        <v>0</v>
      </c>
      <c r="G53" s="424"/>
      <c r="H53" s="425">
        <f>SUM(H51:H52)</f>
        <v>0</v>
      </c>
      <c r="I53" s="762"/>
    </row>
    <row r="54" spans="1:11" ht="22.5" customHeight="1" x14ac:dyDescent="0.2">
      <c r="A54" s="79" t="s">
        <v>255</v>
      </c>
      <c r="B54" s="77" t="s">
        <v>275</v>
      </c>
      <c r="C54" s="91">
        <v>0</v>
      </c>
      <c r="D54" s="91"/>
      <c r="E54" s="91"/>
      <c r="F54" s="91">
        <f>H54-C54</f>
        <v>0</v>
      </c>
      <c r="G54" s="162"/>
      <c r="H54" s="92">
        <v>0</v>
      </c>
      <c r="I54" s="762"/>
    </row>
    <row r="55" spans="1:11" ht="22.5" customHeight="1" thickBot="1" x14ac:dyDescent="0.25">
      <c r="A55" s="79" t="s">
        <v>757</v>
      </c>
      <c r="B55" s="369" t="s">
        <v>758</v>
      </c>
      <c r="C55" s="342"/>
      <c r="D55" s="342"/>
      <c r="E55" s="342">
        <v>500000</v>
      </c>
      <c r="F55" s="342">
        <f>SUM(H55-D55)</f>
        <v>1500000</v>
      </c>
      <c r="G55" s="599">
        <v>0</v>
      </c>
      <c r="H55" s="343">
        <f>SUM('Kiadások részletes COFOG'!F123)</f>
        <v>1500000</v>
      </c>
      <c r="I55" s="762">
        <f t="shared" si="0"/>
        <v>33.333333333333329</v>
      </c>
      <c r="J55" s="69">
        <f t="shared" si="1"/>
        <v>1000000</v>
      </c>
    </row>
    <row r="56" spans="1:11" ht="23.25" customHeight="1" thickBot="1" x14ac:dyDescent="0.25">
      <c r="A56" s="897" t="s">
        <v>276</v>
      </c>
      <c r="B56" s="897"/>
      <c r="C56" s="81">
        <f t="shared" ref="C56:D56" si="16">SUM(C17,C19,C38,C45,C50,C53,C54+C55)</f>
        <v>307601301</v>
      </c>
      <c r="D56" s="81">
        <f t="shared" si="16"/>
        <v>83590808</v>
      </c>
      <c r="E56" s="81">
        <f>SUM(E17,E19,E38,E45,E50,E53,E54+E55)</f>
        <v>51946521</v>
      </c>
      <c r="F56" s="81">
        <f>SUM(F17,F19,F38,F45,F50,F53,F54+F55)</f>
        <v>39462298</v>
      </c>
      <c r="G56" s="273">
        <f>H56/D56*100</f>
        <v>147.20889646143868</v>
      </c>
      <c r="H56" s="82">
        <f>SUM(H17,H19,H38,H45,H50,H53,H54+H55)</f>
        <v>123053106</v>
      </c>
      <c r="I56" s="762"/>
    </row>
    <row r="57" spans="1:11" ht="26.25" customHeight="1" thickBot="1" x14ac:dyDescent="0.25">
      <c r="A57" s="857" t="s">
        <v>118</v>
      </c>
      <c r="B57" s="857"/>
      <c r="C57" s="857"/>
      <c r="D57" s="857"/>
      <c r="E57" s="857"/>
      <c r="F57" s="857"/>
      <c r="G57" s="857"/>
      <c r="H57" s="857"/>
      <c r="I57" s="762"/>
    </row>
    <row r="58" spans="1:11" ht="21.75" customHeight="1" x14ac:dyDescent="0.2">
      <c r="A58" s="911" t="s">
        <v>45</v>
      </c>
      <c r="B58" s="912" t="s">
        <v>46</v>
      </c>
      <c r="C58" s="898">
        <v>2023</v>
      </c>
      <c r="D58" s="899"/>
      <c r="E58" s="899"/>
      <c r="F58" s="899"/>
      <c r="G58" s="899"/>
      <c r="H58" s="902"/>
      <c r="I58" s="762"/>
    </row>
    <row r="59" spans="1:11" ht="24.75" customHeight="1" thickBot="1" x14ac:dyDescent="0.25">
      <c r="A59" s="911"/>
      <c r="B59" s="912"/>
      <c r="C59" s="120" t="s">
        <v>47</v>
      </c>
      <c r="D59" s="120" t="s">
        <v>732</v>
      </c>
      <c r="E59" s="120" t="s">
        <v>746</v>
      </c>
      <c r="F59" s="120" t="s">
        <v>504</v>
      </c>
      <c r="G59" s="120" t="s">
        <v>380</v>
      </c>
      <c r="H59" s="384" t="s">
        <v>745</v>
      </c>
      <c r="I59" s="762"/>
    </row>
    <row r="60" spans="1:11" ht="15.95" customHeight="1" x14ac:dyDescent="0.2">
      <c r="A60" s="76" t="s">
        <v>167</v>
      </c>
      <c r="B60" s="77" t="s">
        <v>168</v>
      </c>
      <c r="C60" s="305">
        <v>50000</v>
      </c>
      <c r="D60" s="305">
        <v>50000</v>
      </c>
      <c r="E60" s="305">
        <v>0</v>
      </c>
      <c r="F60" s="91">
        <f>H60-D60</f>
        <v>0</v>
      </c>
      <c r="G60" s="162">
        <f>H60/D60*100</f>
        <v>100</v>
      </c>
      <c r="H60" s="92">
        <f>'Kiadások részletes COFOG'!F128</f>
        <v>50000</v>
      </c>
      <c r="I60" s="762">
        <f t="shared" si="0"/>
        <v>0</v>
      </c>
      <c r="J60" s="69">
        <f t="shared" si="1"/>
        <v>50000</v>
      </c>
    </row>
    <row r="61" spans="1:11" ht="15.95" customHeight="1" x14ac:dyDescent="0.2">
      <c r="A61" s="76" t="s">
        <v>186</v>
      </c>
      <c r="B61" s="77" t="s">
        <v>265</v>
      </c>
      <c r="C61" s="305"/>
      <c r="D61" s="305"/>
      <c r="E61" s="305">
        <v>0</v>
      </c>
      <c r="F61" s="91">
        <f t="shared" ref="F61:F70" si="17">H61-D61</f>
        <v>0</v>
      </c>
      <c r="G61" s="162">
        <v>0</v>
      </c>
      <c r="H61" s="92"/>
      <c r="I61" s="762"/>
    </row>
    <row r="62" spans="1:11" ht="15.95" customHeight="1" x14ac:dyDescent="0.2">
      <c r="A62" s="76" t="s">
        <v>190</v>
      </c>
      <c r="B62" s="77" t="s">
        <v>277</v>
      </c>
      <c r="C62" s="305">
        <v>0</v>
      </c>
      <c r="D62" s="305">
        <v>0</v>
      </c>
      <c r="E62" s="305">
        <v>0</v>
      </c>
      <c r="F62" s="91">
        <f t="shared" si="17"/>
        <v>0</v>
      </c>
      <c r="G62" s="162">
        <v>0</v>
      </c>
      <c r="H62" s="92">
        <f>'Kiadások részletes COFOG'!F131</f>
        <v>0</v>
      </c>
      <c r="I62" s="762"/>
      <c r="K62" s="61"/>
    </row>
    <row r="63" spans="1:11" ht="15.95" customHeight="1" x14ac:dyDescent="0.2">
      <c r="A63" s="76" t="s">
        <v>196</v>
      </c>
      <c r="B63" s="77" t="s">
        <v>197</v>
      </c>
      <c r="C63" s="305">
        <v>100000</v>
      </c>
      <c r="D63" s="305">
        <v>100000</v>
      </c>
      <c r="E63" s="305">
        <v>0</v>
      </c>
      <c r="F63" s="91">
        <f t="shared" si="17"/>
        <v>0</v>
      </c>
      <c r="G63" s="162">
        <f t="shared" ref="G63:G66" si="18">H63/D63*100</f>
        <v>100</v>
      </c>
      <c r="H63" s="92">
        <f>'Kiadások részletes COFOG'!F134</f>
        <v>100000</v>
      </c>
      <c r="I63" s="762">
        <f t="shared" si="0"/>
        <v>0</v>
      </c>
      <c r="J63" s="69">
        <f t="shared" si="1"/>
        <v>100000</v>
      </c>
    </row>
    <row r="64" spans="1:11" ht="15.95" customHeight="1" x14ac:dyDescent="0.2">
      <c r="A64" s="76" t="s">
        <v>202</v>
      </c>
      <c r="B64" s="77" t="s">
        <v>203</v>
      </c>
      <c r="C64" s="305">
        <v>600000</v>
      </c>
      <c r="D64" s="305">
        <v>600000</v>
      </c>
      <c r="E64" s="305">
        <v>439750</v>
      </c>
      <c r="F64" s="91">
        <f t="shared" si="17"/>
        <v>0</v>
      </c>
      <c r="G64" s="162">
        <f t="shared" si="18"/>
        <v>100</v>
      </c>
      <c r="H64" s="92">
        <f>'Kiadások részletes COFOG'!F136</f>
        <v>600000</v>
      </c>
      <c r="I64" s="762">
        <f t="shared" si="0"/>
        <v>73.291666666666671</v>
      </c>
      <c r="J64" s="69">
        <f t="shared" si="1"/>
        <v>160250</v>
      </c>
    </row>
    <row r="65" spans="1:10" ht="15.95" customHeight="1" x14ac:dyDescent="0.2">
      <c r="A65" s="76" t="s">
        <v>206</v>
      </c>
      <c r="B65" s="77" t="s">
        <v>207</v>
      </c>
      <c r="C65" s="305"/>
      <c r="D65" s="305"/>
      <c r="E65" s="305">
        <v>0</v>
      </c>
      <c r="F65" s="91">
        <f t="shared" si="17"/>
        <v>0</v>
      </c>
      <c r="G65" s="162">
        <v>0</v>
      </c>
      <c r="H65" s="92"/>
      <c r="I65" s="762"/>
    </row>
    <row r="66" spans="1:10" ht="20.25" customHeight="1" x14ac:dyDescent="0.2">
      <c r="A66" s="76" t="s">
        <v>210</v>
      </c>
      <c r="B66" s="77" t="s">
        <v>268</v>
      </c>
      <c r="C66" s="305">
        <v>202500</v>
      </c>
      <c r="D66" s="305">
        <v>202500</v>
      </c>
      <c r="E66" s="305">
        <v>118734</v>
      </c>
      <c r="F66" s="91">
        <f t="shared" si="17"/>
        <v>0</v>
      </c>
      <c r="G66" s="162">
        <f t="shared" si="18"/>
        <v>100</v>
      </c>
      <c r="H66" s="92">
        <f>'Kiadások részletes COFOG'!F137</f>
        <v>202500</v>
      </c>
      <c r="I66" s="762">
        <f t="shared" si="0"/>
        <v>58.634074074074071</v>
      </c>
      <c r="J66" s="69">
        <f t="shared" si="1"/>
        <v>83766</v>
      </c>
    </row>
    <row r="67" spans="1:10" ht="15.75" customHeight="1" x14ac:dyDescent="0.2">
      <c r="A67" s="99" t="s">
        <v>244</v>
      </c>
      <c r="B67" s="77" t="s">
        <v>278</v>
      </c>
      <c r="C67" s="305"/>
      <c r="D67" s="305"/>
      <c r="E67" s="305">
        <v>0</v>
      </c>
      <c r="F67" s="91">
        <f t="shared" si="17"/>
        <v>0</v>
      </c>
      <c r="G67" s="162"/>
      <c r="H67" s="92"/>
      <c r="I67" s="762"/>
    </row>
    <row r="68" spans="1:10" ht="21.75" customHeight="1" x14ac:dyDescent="0.2">
      <c r="A68" s="79" t="s">
        <v>246</v>
      </c>
      <c r="B68" s="80" t="s">
        <v>273</v>
      </c>
      <c r="C68" s="357"/>
      <c r="D68" s="357"/>
      <c r="E68" s="357">
        <v>0</v>
      </c>
      <c r="F68" s="91">
        <f t="shared" si="17"/>
        <v>0</v>
      </c>
      <c r="G68" s="162"/>
      <c r="H68" s="84"/>
      <c r="I68" s="762"/>
    </row>
    <row r="69" spans="1:10" ht="15" customHeight="1" x14ac:dyDescent="0.2">
      <c r="A69" s="99" t="s">
        <v>248</v>
      </c>
      <c r="B69" s="77" t="s">
        <v>348</v>
      </c>
      <c r="C69" s="305">
        <v>0</v>
      </c>
      <c r="D69" s="305">
        <v>0</v>
      </c>
      <c r="E69" s="305">
        <v>0</v>
      </c>
      <c r="F69" s="91">
        <f t="shared" si="17"/>
        <v>0</v>
      </c>
      <c r="G69" s="162"/>
      <c r="H69" s="92">
        <f>'Kiadások részletes COFOG'!F140</f>
        <v>0</v>
      </c>
      <c r="I69" s="762"/>
    </row>
    <row r="70" spans="1:10" ht="22.5" customHeight="1" thickBot="1" x14ac:dyDescent="0.25">
      <c r="A70" s="79" t="s">
        <v>252</v>
      </c>
      <c r="B70" s="80" t="s">
        <v>274</v>
      </c>
      <c r="C70" s="357">
        <v>0</v>
      </c>
      <c r="D70" s="357">
        <v>0</v>
      </c>
      <c r="E70" s="357">
        <v>0</v>
      </c>
      <c r="F70" s="91">
        <f t="shared" si="17"/>
        <v>0</v>
      </c>
      <c r="G70" s="162"/>
      <c r="H70" s="84">
        <f>'Kiadások részletes COFOG'!F141</f>
        <v>0</v>
      </c>
      <c r="I70" s="762"/>
    </row>
    <row r="71" spans="1:10" ht="27" customHeight="1" thickBot="1" x14ac:dyDescent="0.25">
      <c r="A71" s="897" t="s">
        <v>276</v>
      </c>
      <c r="B71" s="897"/>
      <c r="C71" s="81">
        <f>SUM(C60:C70)</f>
        <v>952500</v>
      </c>
      <c r="D71" s="81">
        <f t="shared" ref="D71:E71" si="19">SUM(D60:D70)</f>
        <v>952500</v>
      </c>
      <c r="E71" s="81">
        <f t="shared" si="19"/>
        <v>558484</v>
      </c>
      <c r="F71" s="81">
        <f>SUM(F60:F70)</f>
        <v>0</v>
      </c>
      <c r="G71" s="273">
        <f>H71/D71*100</f>
        <v>100</v>
      </c>
      <c r="H71" s="82">
        <f>SUM(H60:H70)</f>
        <v>952500</v>
      </c>
      <c r="I71" s="762"/>
    </row>
    <row r="72" spans="1:10" ht="26.25" customHeight="1" thickBot="1" x14ac:dyDescent="0.25">
      <c r="A72" s="857" t="s">
        <v>279</v>
      </c>
      <c r="B72" s="857"/>
      <c r="C72" s="857"/>
      <c r="D72" s="857"/>
      <c r="E72" s="857"/>
      <c r="F72" s="857"/>
      <c r="G72" s="857"/>
      <c r="H72" s="857"/>
      <c r="I72" s="762"/>
    </row>
    <row r="73" spans="1:10" ht="17.25" customHeight="1" thickBot="1" x14ac:dyDescent="0.25">
      <c r="A73" s="901" t="s">
        <v>45</v>
      </c>
      <c r="B73" s="896" t="s">
        <v>46</v>
      </c>
      <c r="C73" s="898">
        <v>2023</v>
      </c>
      <c r="D73" s="899"/>
      <c r="E73" s="899"/>
      <c r="F73" s="899"/>
      <c r="G73" s="899"/>
      <c r="H73" s="902"/>
      <c r="I73" s="762"/>
    </row>
    <row r="74" spans="1:10" ht="25.5" customHeight="1" thickBot="1" x14ac:dyDescent="0.25">
      <c r="A74" s="901"/>
      <c r="B74" s="896"/>
      <c r="C74" s="120" t="s">
        <v>47</v>
      </c>
      <c r="D74" s="120" t="s">
        <v>732</v>
      </c>
      <c r="E74" s="120" t="s">
        <v>746</v>
      </c>
      <c r="F74" s="120" t="s">
        <v>504</v>
      </c>
      <c r="G74" s="120" t="s">
        <v>380</v>
      </c>
      <c r="H74" s="384" t="s">
        <v>745</v>
      </c>
      <c r="I74" s="762"/>
    </row>
    <row r="75" spans="1:10" ht="15" customHeight="1" x14ac:dyDescent="0.2">
      <c r="A75" s="76" t="s">
        <v>167</v>
      </c>
      <c r="B75" s="77" t="s">
        <v>168</v>
      </c>
      <c r="C75" s="305">
        <v>50000</v>
      </c>
      <c r="D75" s="305">
        <v>50000</v>
      </c>
      <c r="E75" s="305">
        <v>83712</v>
      </c>
      <c r="F75" s="91">
        <f>H75-D75</f>
        <v>50000</v>
      </c>
      <c r="G75" s="162">
        <f>H75/D75*100</f>
        <v>200</v>
      </c>
      <c r="H75" s="92">
        <f>'Kiadások részletes COFOG'!F146</f>
        <v>100000</v>
      </c>
      <c r="I75" s="762">
        <f t="shared" ref="I75:I138" si="20">SUM(E75/H75*100)</f>
        <v>83.712000000000003</v>
      </c>
      <c r="J75" s="69">
        <f t="shared" ref="J75:J138" si="21">SUM(H75-E75)</f>
        <v>16288</v>
      </c>
    </row>
    <row r="76" spans="1:10" ht="15" customHeight="1" x14ac:dyDescent="0.2">
      <c r="A76" s="99" t="s">
        <v>184</v>
      </c>
      <c r="B76" s="77" t="s">
        <v>285</v>
      </c>
      <c r="C76" s="305">
        <v>1584000</v>
      </c>
      <c r="D76" s="305">
        <v>1584000</v>
      </c>
      <c r="E76" s="305">
        <f>SUM(E77:E79)</f>
        <v>946479</v>
      </c>
      <c r="F76" s="91">
        <f t="shared" ref="F76:F81" si="22">H76-D76</f>
        <v>0</v>
      </c>
      <c r="G76" s="162">
        <f t="shared" ref="G76:G82" si="23">H76/D76*100</f>
        <v>100</v>
      </c>
      <c r="H76" s="92">
        <f>SUM(H77:H79)</f>
        <v>1584000</v>
      </c>
      <c r="I76" s="762">
        <f t="shared" si="20"/>
        <v>59.752462121212126</v>
      </c>
      <c r="J76" s="69">
        <f t="shared" si="21"/>
        <v>637521</v>
      </c>
    </row>
    <row r="77" spans="1:10" ht="15" customHeight="1" x14ac:dyDescent="0.2">
      <c r="A77" s="76" t="s">
        <v>186</v>
      </c>
      <c r="B77" s="77" t="s">
        <v>402</v>
      </c>
      <c r="C77" s="305">
        <v>480000</v>
      </c>
      <c r="D77" s="305">
        <v>480000</v>
      </c>
      <c r="E77" s="305">
        <v>218909</v>
      </c>
      <c r="F77" s="91">
        <f t="shared" si="22"/>
        <v>0</v>
      </c>
      <c r="G77" s="162">
        <f t="shared" si="23"/>
        <v>100</v>
      </c>
      <c r="H77" s="92">
        <f>'Kiadások részletes COFOG'!F147</f>
        <v>480000</v>
      </c>
      <c r="I77" s="762">
        <f t="shared" si="20"/>
        <v>45.60604166666667</v>
      </c>
      <c r="J77" s="69">
        <f t="shared" si="21"/>
        <v>261091</v>
      </c>
    </row>
    <row r="78" spans="1:10" ht="15" customHeight="1" x14ac:dyDescent="0.2">
      <c r="A78" s="76" t="s">
        <v>188</v>
      </c>
      <c r="B78" s="77" t="s">
        <v>403</v>
      </c>
      <c r="C78" s="305">
        <v>960000</v>
      </c>
      <c r="D78" s="305">
        <v>960000</v>
      </c>
      <c r="E78" s="305">
        <v>682610</v>
      </c>
      <c r="F78" s="91">
        <f t="shared" si="22"/>
        <v>0</v>
      </c>
      <c r="G78" s="162">
        <f t="shared" si="23"/>
        <v>100</v>
      </c>
      <c r="H78" s="92">
        <f>'Kiadások részletes COFOG'!F148</f>
        <v>960000</v>
      </c>
      <c r="I78" s="762">
        <f t="shared" si="20"/>
        <v>71.105208333333337</v>
      </c>
      <c r="J78" s="69">
        <f t="shared" si="21"/>
        <v>277390</v>
      </c>
    </row>
    <row r="79" spans="1:10" ht="15" customHeight="1" x14ac:dyDescent="0.2">
      <c r="A79" s="76" t="s">
        <v>190</v>
      </c>
      <c r="B79" s="77" t="s">
        <v>404</v>
      </c>
      <c r="C79" s="305">
        <v>144000</v>
      </c>
      <c r="D79" s="305">
        <v>144000</v>
      </c>
      <c r="E79" s="305">
        <v>44960</v>
      </c>
      <c r="F79" s="91">
        <f t="shared" si="22"/>
        <v>0</v>
      </c>
      <c r="G79" s="162">
        <f t="shared" si="23"/>
        <v>100</v>
      </c>
      <c r="H79" s="92">
        <f>'Kiadások részletes COFOG'!F149</f>
        <v>144000</v>
      </c>
      <c r="I79" s="762">
        <f t="shared" si="20"/>
        <v>31.222222222222225</v>
      </c>
      <c r="J79" s="69">
        <f t="shared" si="21"/>
        <v>99040</v>
      </c>
    </row>
    <row r="80" spans="1:10" ht="15" customHeight="1" x14ac:dyDescent="0.2">
      <c r="A80" s="76" t="s">
        <v>196</v>
      </c>
      <c r="B80" s="77" t="s">
        <v>401</v>
      </c>
      <c r="C80" s="305">
        <v>50000</v>
      </c>
      <c r="D80" s="305">
        <v>200000</v>
      </c>
      <c r="E80" s="305">
        <v>169000</v>
      </c>
      <c r="F80" s="91">
        <f t="shared" si="22"/>
        <v>0</v>
      </c>
      <c r="G80" s="162">
        <f t="shared" si="23"/>
        <v>100</v>
      </c>
      <c r="H80" s="92">
        <f>'Kiadások részletes COFOG'!F151</f>
        <v>200000</v>
      </c>
      <c r="I80" s="762">
        <f t="shared" si="20"/>
        <v>84.5</v>
      </c>
      <c r="J80" s="69">
        <f t="shared" si="21"/>
        <v>31000</v>
      </c>
    </row>
    <row r="81" spans="1:12" ht="15" customHeight="1" x14ac:dyDescent="0.2">
      <c r="A81" s="88" t="s">
        <v>202</v>
      </c>
      <c r="B81" s="80" t="s">
        <v>405</v>
      </c>
      <c r="C81" s="357">
        <v>150000</v>
      </c>
      <c r="D81" s="357">
        <v>150000</v>
      </c>
      <c r="E81" s="357">
        <v>14000</v>
      </c>
      <c r="F81" s="91">
        <f t="shared" si="22"/>
        <v>0</v>
      </c>
      <c r="G81" s="162">
        <f t="shared" si="23"/>
        <v>100</v>
      </c>
      <c r="H81" s="84">
        <f>'Kiadások részletes COFOG'!F152</f>
        <v>150000</v>
      </c>
      <c r="I81" s="762">
        <f t="shared" si="20"/>
        <v>9.3333333333333339</v>
      </c>
      <c r="J81" s="69">
        <f t="shared" si="21"/>
        <v>136000</v>
      </c>
    </row>
    <row r="82" spans="1:12" ht="20.25" customHeight="1" x14ac:dyDescent="0.2">
      <c r="A82" s="88" t="s">
        <v>210</v>
      </c>
      <c r="B82" s="80" t="s">
        <v>268</v>
      </c>
      <c r="C82" s="357">
        <v>100440</v>
      </c>
      <c r="D82" s="357">
        <v>500000</v>
      </c>
      <c r="E82" s="357">
        <v>279073</v>
      </c>
      <c r="F82" s="91">
        <f>H82-D82</f>
        <v>50000</v>
      </c>
      <c r="G82" s="162">
        <f t="shared" si="23"/>
        <v>110.00000000000001</v>
      </c>
      <c r="H82" s="84">
        <f>'Kiadások részletes COFOG'!F153</f>
        <v>550000</v>
      </c>
      <c r="I82" s="762">
        <f t="shared" si="20"/>
        <v>50.740545454545448</v>
      </c>
      <c r="J82" s="69">
        <f t="shared" si="21"/>
        <v>270927</v>
      </c>
      <c r="K82" s="914"/>
      <c r="L82" s="914"/>
    </row>
    <row r="83" spans="1:12" ht="20.25" customHeight="1" x14ac:dyDescent="0.2">
      <c r="A83" s="99" t="s">
        <v>240</v>
      </c>
      <c r="B83" s="77" t="s">
        <v>532</v>
      </c>
      <c r="C83" s="305">
        <v>0</v>
      </c>
      <c r="D83" s="305">
        <v>0</v>
      </c>
      <c r="E83" s="305"/>
      <c r="F83" s="91">
        <f t="shared" ref="F83:F85" si="24">H83-C83</f>
        <v>0</v>
      </c>
      <c r="G83" s="162">
        <v>0</v>
      </c>
      <c r="H83" s="92">
        <f>'Kiadások részletes COFOG'!F154</f>
        <v>0</v>
      </c>
      <c r="I83" s="762"/>
      <c r="K83" s="128"/>
      <c r="L83" s="128"/>
    </row>
    <row r="84" spans="1:12" ht="20.25" customHeight="1" x14ac:dyDescent="0.2">
      <c r="A84" s="79" t="s">
        <v>248</v>
      </c>
      <c r="B84" s="80" t="s">
        <v>534</v>
      </c>
      <c r="C84" s="357">
        <v>0</v>
      </c>
      <c r="D84" s="357">
        <v>0</v>
      </c>
      <c r="E84" s="357"/>
      <c r="F84" s="91">
        <f t="shared" si="24"/>
        <v>0</v>
      </c>
      <c r="G84" s="162">
        <v>0</v>
      </c>
      <c r="H84" s="84">
        <f>'Kiadások részletes COFOG'!F155</f>
        <v>0</v>
      </c>
      <c r="I84" s="762"/>
      <c r="K84" s="128"/>
      <c r="L84" s="128"/>
    </row>
    <row r="85" spans="1:12" ht="20.25" customHeight="1" thickBot="1" x14ac:dyDescent="0.25">
      <c r="A85" s="79" t="s">
        <v>252</v>
      </c>
      <c r="B85" s="80" t="s">
        <v>274</v>
      </c>
      <c r="C85" s="357">
        <v>0</v>
      </c>
      <c r="D85" s="357">
        <v>0</v>
      </c>
      <c r="E85" s="357"/>
      <c r="F85" s="91">
        <f t="shared" si="24"/>
        <v>0</v>
      </c>
      <c r="G85" s="162">
        <v>0</v>
      </c>
      <c r="H85" s="84">
        <f>'Kiadások részletes COFOG'!F156</f>
        <v>0</v>
      </c>
      <c r="I85" s="762"/>
      <c r="K85" s="128"/>
      <c r="L85" s="128"/>
    </row>
    <row r="86" spans="1:12" ht="19.5" customHeight="1" thickBot="1" x14ac:dyDescent="0.25">
      <c r="A86" s="897" t="s">
        <v>276</v>
      </c>
      <c r="B86" s="897"/>
      <c r="C86" s="81">
        <f>SUM(C75,C77:C85)</f>
        <v>1934440</v>
      </c>
      <c r="D86" s="81">
        <f t="shared" ref="D86:E86" si="25">SUM(D75,D77:D85)</f>
        <v>2484000</v>
      </c>
      <c r="E86" s="81">
        <f t="shared" si="25"/>
        <v>1492264</v>
      </c>
      <c r="F86" s="81">
        <f>SUM(F75,F77:F85)</f>
        <v>100000</v>
      </c>
      <c r="G86" s="273">
        <f>H86/C86*100</f>
        <v>133.57871011765678</v>
      </c>
      <c r="H86" s="82">
        <f>SUM(H76+H80+H81+H82+H75+H84+H85)</f>
        <v>2584000</v>
      </c>
      <c r="I86" s="762">
        <f t="shared" si="20"/>
        <v>57.750154798761614</v>
      </c>
      <c r="J86" s="69">
        <f t="shared" si="21"/>
        <v>1091736</v>
      </c>
    </row>
    <row r="87" spans="1:12" ht="24" customHeight="1" thickBot="1" x14ac:dyDescent="0.25">
      <c r="A87" s="857" t="s">
        <v>280</v>
      </c>
      <c r="B87" s="857"/>
      <c r="C87" s="857"/>
      <c r="D87" s="857"/>
      <c r="E87" s="857"/>
      <c r="F87" s="857"/>
      <c r="G87" s="857"/>
      <c r="H87" s="857"/>
      <c r="I87" s="762"/>
    </row>
    <row r="88" spans="1:12" ht="22.5" customHeight="1" thickBot="1" x14ac:dyDescent="0.25">
      <c r="A88" s="901" t="s">
        <v>45</v>
      </c>
      <c r="B88" s="896" t="s">
        <v>46</v>
      </c>
      <c r="C88" s="898">
        <v>2023</v>
      </c>
      <c r="D88" s="899"/>
      <c r="E88" s="899"/>
      <c r="F88" s="899"/>
      <c r="G88" s="899"/>
      <c r="H88" s="902"/>
      <c r="I88" s="762"/>
    </row>
    <row r="89" spans="1:12" ht="22.5" customHeight="1" thickBot="1" x14ac:dyDescent="0.25">
      <c r="A89" s="901"/>
      <c r="B89" s="896"/>
      <c r="C89" s="120" t="s">
        <v>47</v>
      </c>
      <c r="D89" s="120" t="s">
        <v>732</v>
      </c>
      <c r="E89" s="120" t="s">
        <v>746</v>
      </c>
      <c r="F89" s="120" t="s">
        <v>504</v>
      </c>
      <c r="G89" s="120" t="s">
        <v>380</v>
      </c>
      <c r="H89" s="384" t="s">
        <v>745</v>
      </c>
      <c r="I89" s="762"/>
    </row>
    <row r="90" spans="1:12" ht="15.95" customHeight="1" x14ac:dyDescent="0.2">
      <c r="A90" s="76" t="s">
        <v>153</v>
      </c>
      <c r="B90" s="77" t="s">
        <v>154</v>
      </c>
      <c r="C90" s="305">
        <v>300000</v>
      </c>
      <c r="D90" s="305">
        <v>300000</v>
      </c>
      <c r="E90" s="305">
        <v>57441</v>
      </c>
      <c r="F90" s="91">
        <f t="shared" ref="F90:F94" si="26">H90-D90</f>
        <v>-240000</v>
      </c>
      <c r="G90" s="162">
        <f>H90/D90*100</f>
        <v>20</v>
      </c>
      <c r="H90" s="92">
        <f>'Kiadások részletes COFOG'!F161</f>
        <v>60000</v>
      </c>
      <c r="I90" s="762">
        <f t="shared" si="20"/>
        <v>95.734999999999999</v>
      </c>
      <c r="J90" s="69">
        <f t="shared" si="21"/>
        <v>2559</v>
      </c>
    </row>
    <row r="91" spans="1:12" ht="15.95" customHeight="1" x14ac:dyDescent="0.2">
      <c r="A91" s="99" t="s">
        <v>311</v>
      </c>
      <c r="B91" s="77" t="s">
        <v>624</v>
      </c>
      <c r="C91" s="305">
        <v>120000</v>
      </c>
      <c r="D91" s="305">
        <v>120000</v>
      </c>
      <c r="E91" s="305">
        <v>24102</v>
      </c>
      <c r="F91" s="91">
        <f t="shared" si="26"/>
        <v>-90000</v>
      </c>
      <c r="G91" s="162">
        <f t="shared" ref="G91:G98" si="27">H91/D91*100</f>
        <v>25</v>
      </c>
      <c r="H91" s="92">
        <f>SUM('Kiadások részletes COFOG'!F162)</f>
        <v>30000</v>
      </c>
      <c r="I91" s="762">
        <f t="shared" si="20"/>
        <v>80.34</v>
      </c>
      <c r="J91" s="69">
        <f t="shared" si="21"/>
        <v>5898</v>
      </c>
    </row>
    <row r="92" spans="1:12" ht="15.95" customHeight="1" x14ac:dyDescent="0.2">
      <c r="A92" s="76" t="s">
        <v>167</v>
      </c>
      <c r="B92" s="77" t="s">
        <v>168</v>
      </c>
      <c r="C92" s="305">
        <v>1500000</v>
      </c>
      <c r="D92" s="305">
        <v>1500000</v>
      </c>
      <c r="E92" s="305">
        <v>539977</v>
      </c>
      <c r="F92" s="91">
        <f t="shared" si="26"/>
        <v>0</v>
      </c>
      <c r="G92" s="162">
        <f t="shared" si="27"/>
        <v>100</v>
      </c>
      <c r="H92" s="92">
        <f>'Kiadások részletes COFOG'!F165</f>
        <v>1500000</v>
      </c>
      <c r="I92" s="762">
        <f t="shared" si="20"/>
        <v>35.998466666666666</v>
      </c>
      <c r="J92" s="69">
        <f t="shared" si="21"/>
        <v>960023</v>
      </c>
    </row>
    <row r="93" spans="1:12" ht="15.95" customHeight="1" x14ac:dyDescent="0.2">
      <c r="A93" s="99" t="s">
        <v>192</v>
      </c>
      <c r="B93" s="77" t="s">
        <v>193</v>
      </c>
      <c r="C93" s="305">
        <v>0</v>
      </c>
      <c r="D93" s="305">
        <v>0</v>
      </c>
      <c r="E93" s="305">
        <v>0</v>
      </c>
      <c r="F93" s="91">
        <f t="shared" si="26"/>
        <v>0</v>
      </c>
      <c r="G93" s="162">
        <v>0</v>
      </c>
      <c r="H93" s="92">
        <v>0</v>
      </c>
      <c r="I93" s="762"/>
    </row>
    <row r="94" spans="1:12" ht="15.95" customHeight="1" x14ac:dyDescent="0.2">
      <c r="A94" s="99" t="s">
        <v>194</v>
      </c>
      <c r="B94" s="77" t="s">
        <v>195</v>
      </c>
      <c r="C94" s="305">
        <v>0</v>
      </c>
      <c r="D94" s="305">
        <v>490000</v>
      </c>
      <c r="E94" s="305">
        <v>490000</v>
      </c>
      <c r="F94" s="91">
        <f t="shared" si="26"/>
        <v>490000</v>
      </c>
      <c r="G94" s="162">
        <f t="shared" si="27"/>
        <v>200</v>
      </c>
      <c r="H94" s="92">
        <f>SUM('Kiadások részletes COFOG'!F166)</f>
        <v>980000</v>
      </c>
      <c r="I94" s="762">
        <f t="shared" si="20"/>
        <v>50</v>
      </c>
      <c r="J94" s="69">
        <f t="shared" si="21"/>
        <v>490000</v>
      </c>
    </row>
    <row r="95" spans="1:12" ht="15.95" customHeight="1" x14ac:dyDescent="0.2">
      <c r="A95" s="99" t="s">
        <v>196</v>
      </c>
      <c r="B95" s="77" t="s">
        <v>759</v>
      </c>
      <c r="C95" s="305">
        <v>0</v>
      </c>
      <c r="D95" s="305">
        <v>0</v>
      </c>
      <c r="E95" s="305">
        <v>122000</v>
      </c>
      <c r="F95" s="91">
        <f>H95-D95</f>
        <v>122000</v>
      </c>
      <c r="G95" s="162">
        <v>0</v>
      </c>
      <c r="H95" s="92">
        <f>SUM('Kiadások részletes COFOG'!F167)</f>
        <v>122000</v>
      </c>
      <c r="I95" s="762">
        <f t="shared" si="20"/>
        <v>100</v>
      </c>
      <c r="J95" s="69">
        <f t="shared" si="21"/>
        <v>0</v>
      </c>
    </row>
    <row r="96" spans="1:12" ht="15.95" customHeight="1" x14ac:dyDescent="0.2">
      <c r="A96" s="99" t="s">
        <v>202</v>
      </c>
      <c r="B96" s="77" t="s">
        <v>203</v>
      </c>
      <c r="C96" s="305">
        <v>1800000</v>
      </c>
      <c r="D96" s="305">
        <v>1310000</v>
      </c>
      <c r="E96" s="305">
        <v>745000</v>
      </c>
      <c r="F96" s="91">
        <f t="shared" ref="F96:F98" si="28">H96-D96</f>
        <v>0</v>
      </c>
      <c r="G96" s="162">
        <f t="shared" si="27"/>
        <v>100</v>
      </c>
      <c r="H96" s="92">
        <f>'Kiadások részletes COFOG'!F169</f>
        <v>1310000</v>
      </c>
      <c r="I96" s="762">
        <f t="shared" si="20"/>
        <v>56.87022900763359</v>
      </c>
      <c r="J96" s="69">
        <f t="shared" si="21"/>
        <v>565000</v>
      </c>
    </row>
    <row r="97" spans="1:17" ht="15.95" customHeight="1" x14ac:dyDescent="0.2">
      <c r="A97" s="99" t="s">
        <v>289</v>
      </c>
      <c r="B97" s="77" t="s">
        <v>290</v>
      </c>
      <c r="C97" s="305">
        <v>0</v>
      </c>
      <c r="D97" s="305">
        <v>0</v>
      </c>
      <c r="E97" s="305"/>
      <c r="F97" s="91">
        <f t="shared" si="28"/>
        <v>0</v>
      </c>
      <c r="G97" s="162">
        <v>0</v>
      </c>
      <c r="H97" s="92">
        <f>'Kiadások részletes COFOG'!F170</f>
        <v>0</v>
      </c>
      <c r="I97" s="762"/>
    </row>
    <row r="98" spans="1:17" ht="23.25" customHeight="1" thickBot="1" x14ac:dyDescent="0.25">
      <c r="A98" s="79" t="s">
        <v>210</v>
      </c>
      <c r="B98" s="80" t="s">
        <v>268</v>
      </c>
      <c r="C98" s="357">
        <v>972000</v>
      </c>
      <c r="D98" s="357">
        <v>972000</v>
      </c>
      <c r="E98" s="357">
        <v>445239</v>
      </c>
      <c r="F98" s="91">
        <f t="shared" si="28"/>
        <v>-62000</v>
      </c>
      <c r="G98" s="162">
        <f t="shared" si="27"/>
        <v>93.621399176954739</v>
      </c>
      <c r="H98" s="84">
        <f>'Kiadások részletes COFOG'!F171</f>
        <v>910000</v>
      </c>
      <c r="I98" s="762">
        <f t="shared" si="20"/>
        <v>48.927362637362634</v>
      </c>
      <c r="J98" s="69">
        <f t="shared" si="21"/>
        <v>464761</v>
      </c>
    </row>
    <row r="99" spans="1:17" ht="19.5" customHeight="1" thickBot="1" x14ac:dyDescent="0.25">
      <c r="A99" s="897" t="s">
        <v>276</v>
      </c>
      <c r="B99" s="897"/>
      <c r="C99" s="81">
        <f>SUM(C90:C98)</f>
        <v>4692000</v>
      </c>
      <c r="D99" s="81">
        <f t="shared" ref="D99:E99" si="29">SUM(D90:D98)</f>
        <v>4692000</v>
      </c>
      <c r="E99" s="81">
        <f t="shared" si="29"/>
        <v>2423759</v>
      </c>
      <c r="F99" s="81">
        <f>SUM(F90:F98)</f>
        <v>220000</v>
      </c>
      <c r="G99" s="273">
        <f>H99/D99*100</f>
        <v>104.68883205456096</v>
      </c>
      <c r="H99" s="82">
        <f>SUM(H90:H98)</f>
        <v>4912000</v>
      </c>
      <c r="I99" s="762">
        <f t="shared" si="20"/>
        <v>49.343627850162868</v>
      </c>
      <c r="J99" s="69">
        <f t="shared" si="21"/>
        <v>2488241</v>
      </c>
    </row>
    <row r="100" spans="1:17" ht="25.5" customHeight="1" thickBot="1" x14ac:dyDescent="0.25">
      <c r="A100" s="907" t="s">
        <v>119</v>
      </c>
      <c r="B100" s="908"/>
      <c r="C100" s="908"/>
      <c r="D100" s="908"/>
      <c r="E100" s="908"/>
      <c r="F100" s="908"/>
      <c r="G100" s="908"/>
      <c r="H100" s="910"/>
      <c r="I100" s="762"/>
    </row>
    <row r="101" spans="1:17" ht="22.5" customHeight="1" thickBot="1" x14ac:dyDescent="0.25">
      <c r="A101" s="901" t="s">
        <v>45</v>
      </c>
      <c r="B101" s="896" t="s">
        <v>46</v>
      </c>
      <c r="C101" s="898">
        <v>2023</v>
      </c>
      <c r="D101" s="899"/>
      <c r="E101" s="899"/>
      <c r="F101" s="899"/>
      <c r="G101" s="899"/>
      <c r="H101" s="902"/>
      <c r="I101" s="762"/>
    </row>
    <row r="102" spans="1:17" ht="24" customHeight="1" thickBot="1" x14ac:dyDescent="0.25">
      <c r="A102" s="901"/>
      <c r="B102" s="896"/>
      <c r="C102" s="120" t="s">
        <v>47</v>
      </c>
      <c r="D102" s="120" t="s">
        <v>732</v>
      </c>
      <c r="E102" s="120" t="s">
        <v>746</v>
      </c>
      <c r="F102" s="120" t="s">
        <v>504</v>
      </c>
      <c r="G102" s="120" t="s">
        <v>380</v>
      </c>
      <c r="H102" s="384" t="s">
        <v>745</v>
      </c>
      <c r="I102" s="762"/>
    </row>
    <row r="103" spans="1:17" ht="24" customHeight="1" x14ac:dyDescent="0.2">
      <c r="A103" s="129" t="s">
        <v>229</v>
      </c>
      <c r="B103" s="130" t="s">
        <v>281</v>
      </c>
      <c r="C103" s="240">
        <v>0</v>
      </c>
      <c r="D103" s="240">
        <v>0</v>
      </c>
      <c r="E103" s="240"/>
      <c r="F103" s="131">
        <f>H103-C103</f>
        <v>0</v>
      </c>
      <c r="G103" s="274">
        <v>0</v>
      </c>
      <c r="H103" s="132">
        <f>'Kiadások részletes COFOG'!F176</f>
        <v>0</v>
      </c>
      <c r="I103" s="762"/>
    </row>
    <row r="104" spans="1:17" ht="30" customHeight="1" thickBot="1" x14ac:dyDescent="0.25">
      <c r="A104" s="88" t="s">
        <v>40</v>
      </c>
      <c r="B104" s="80" t="s">
        <v>256</v>
      </c>
      <c r="C104" s="83">
        <v>9750886</v>
      </c>
      <c r="D104" s="83">
        <v>9750886</v>
      </c>
      <c r="E104" s="83">
        <v>9750886</v>
      </c>
      <c r="F104" s="131">
        <f>H104-D104</f>
        <v>0</v>
      </c>
      <c r="G104" s="274">
        <f>H104/D104*100</f>
        <v>100</v>
      </c>
      <c r="H104" s="133">
        <f>SUM('Kiadások részletes COFOG'!F177)</f>
        <v>9750886</v>
      </c>
      <c r="I104" s="762">
        <f t="shared" si="20"/>
        <v>100</v>
      </c>
      <c r="J104" s="69">
        <f t="shared" si="21"/>
        <v>0</v>
      </c>
    </row>
    <row r="105" spans="1:17" ht="22.5" customHeight="1" thickBot="1" x14ac:dyDescent="0.25">
      <c r="A105" s="897" t="s">
        <v>276</v>
      </c>
      <c r="B105" s="897"/>
      <c r="C105" s="81">
        <f>SUM(C103:C104)</f>
        <v>9750886</v>
      </c>
      <c r="D105" s="81">
        <f t="shared" ref="D105:E105" si="30">SUM(D103:D104)</f>
        <v>9750886</v>
      </c>
      <c r="E105" s="81">
        <f t="shared" si="30"/>
        <v>9750886</v>
      </c>
      <c r="F105" s="81">
        <f>SUM(F103:F104)</f>
        <v>0</v>
      </c>
      <c r="G105" s="273">
        <f>H105/D105*100</f>
        <v>100</v>
      </c>
      <c r="H105" s="82">
        <f>SUM(H103:H104)</f>
        <v>9750886</v>
      </c>
      <c r="I105" s="762"/>
    </row>
    <row r="106" spans="1:17" ht="23.25" customHeight="1" thickBot="1" x14ac:dyDescent="0.25">
      <c r="A106" s="857" t="s">
        <v>130</v>
      </c>
      <c r="B106" s="857"/>
      <c r="C106" s="857"/>
      <c r="D106" s="857"/>
      <c r="E106" s="857"/>
      <c r="F106" s="857"/>
      <c r="G106" s="857"/>
      <c r="H106" s="857"/>
      <c r="I106" s="762"/>
    </row>
    <row r="107" spans="1:17" ht="19.5" customHeight="1" x14ac:dyDescent="0.2">
      <c r="A107" s="911" t="s">
        <v>45</v>
      </c>
      <c r="B107" s="912" t="s">
        <v>46</v>
      </c>
      <c r="C107" s="898">
        <v>2023</v>
      </c>
      <c r="D107" s="899"/>
      <c r="E107" s="899"/>
      <c r="F107" s="899"/>
      <c r="G107" s="899"/>
      <c r="H107" s="902"/>
      <c r="I107" s="762"/>
    </row>
    <row r="108" spans="1:17" ht="22.5" customHeight="1" thickBot="1" x14ac:dyDescent="0.25">
      <c r="A108" s="921"/>
      <c r="B108" s="922"/>
      <c r="C108" s="120" t="s">
        <v>47</v>
      </c>
      <c r="D108" s="120" t="s">
        <v>732</v>
      </c>
      <c r="E108" s="120" t="s">
        <v>746</v>
      </c>
      <c r="F108" s="120" t="s">
        <v>504</v>
      </c>
      <c r="G108" s="120" t="s">
        <v>380</v>
      </c>
      <c r="H108" s="384" t="s">
        <v>745</v>
      </c>
      <c r="I108" s="762"/>
    </row>
    <row r="109" spans="1:17" ht="22.5" customHeight="1" x14ac:dyDescent="0.2">
      <c r="A109" s="326" t="s">
        <v>228</v>
      </c>
      <c r="B109" s="376" t="s">
        <v>503</v>
      </c>
      <c r="C109" s="357">
        <v>14550000</v>
      </c>
      <c r="D109" s="357">
        <v>63079410</v>
      </c>
      <c r="E109" s="357">
        <v>57011417</v>
      </c>
      <c r="F109" s="83">
        <f>H109-D109</f>
        <v>0</v>
      </c>
      <c r="G109" s="378">
        <f>H109/D109*100</f>
        <v>100</v>
      </c>
      <c r="H109" s="297">
        <f>'Kiadások részletes COFOG'!F184+'Kiadások részletes COFOG'!F186+'Kiadások részletes COFOG'!F182</f>
        <v>63079410</v>
      </c>
      <c r="I109" s="762">
        <f t="shared" si="20"/>
        <v>90.380390368267555</v>
      </c>
      <c r="J109" s="69">
        <f t="shared" si="21"/>
        <v>6067993</v>
      </c>
    </row>
    <row r="110" spans="1:17" ht="23.25" customHeight="1" thickBot="1" x14ac:dyDescent="0.25">
      <c r="A110" s="88" t="s">
        <v>257</v>
      </c>
      <c r="B110" s="80" t="s">
        <v>258</v>
      </c>
      <c r="C110" s="357">
        <v>221309261</v>
      </c>
      <c r="D110" s="357">
        <v>228287193</v>
      </c>
      <c r="E110" s="357">
        <v>175044300</v>
      </c>
      <c r="F110" s="83">
        <f>H110-D110</f>
        <v>1840347</v>
      </c>
      <c r="G110" s="378">
        <f>H110/D110*100</f>
        <v>100.80615429004816</v>
      </c>
      <c r="H110" s="84">
        <f>SUM('Kiadások részletes COFOG'!F187)</f>
        <v>230127540</v>
      </c>
      <c r="I110" s="762">
        <f t="shared" si="20"/>
        <v>76.064038228540582</v>
      </c>
      <c r="J110" s="69">
        <f t="shared" si="21"/>
        <v>55083240</v>
      </c>
      <c r="K110" s="34"/>
      <c r="L110" s="34"/>
      <c r="M110" s="34"/>
      <c r="N110" s="34"/>
      <c r="O110" s="34"/>
      <c r="P110" s="34"/>
      <c r="Q110" s="34"/>
    </row>
    <row r="111" spans="1:17" ht="21" customHeight="1" thickBot="1" x14ac:dyDescent="0.25">
      <c r="A111" s="923" t="s">
        <v>276</v>
      </c>
      <c r="B111" s="923"/>
      <c r="C111" s="364">
        <f>SUM(C109:C110)</f>
        <v>235859261</v>
      </c>
      <c r="D111" s="364">
        <f t="shared" ref="D111:E111" si="31">SUM(D109:D110)</f>
        <v>291366603</v>
      </c>
      <c r="E111" s="364">
        <f t="shared" si="31"/>
        <v>232055717</v>
      </c>
      <c r="F111" s="134">
        <f>SUM(F109:F110)</f>
        <v>1840347</v>
      </c>
      <c r="G111" s="379">
        <f>H111/D111*100</f>
        <v>100.63162592454016</v>
      </c>
      <c r="H111" s="135">
        <f>SUM(H109:H110)</f>
        <v>293206950</v>
      </c>
      <c r="I111" s="762"/>
    </row>
    <row r="112" spans="1:17" ht="25.5" customHeight="1" thickBot="1" x14ac:dyDescent="0.25">
      <c r="A112" s="857" t="s">
        <v>410</v>
      </c>
      <c r="B112" s="857"/>
      <c r="C112" s="857"/>
      <c r="D112" s="857"/>
      <c r="E112" s="857"/>
      <c r="F112" s="857"/>
      <c r="G112" s="857"/>
      <c r="H112" s="857"/>
      <c r="I112" s="762"/>
    </row>
    <row r="113" spans="1:10" ht="21.75" customHeight="1" x14ac:dyDescent="0.2">
      <c r="A113" s="901" t="s">
        <v>45</v>
      </c>
      <c r="B113" s="896" t="s">
        <v>46</v>
      </c>
      <c r="C113" s="898">
        <v>2023</v>
      </c>
      <c r="D113" s="899"/>
      <c r="E113" s="899"/>
      <c r="F113" s="899"/>
      <c r="G113" s="899"/>
      <c r="H113" s="902"/>
      <c r="I113" s="762"/>
    </row>
    <row r="114" spans="1:10" ht="23.25" customHeight="1" thickBot="1" x14ac:dyDescent="0.25">
      <c r="A114" s="921"/>
      <c r="B114" s="922"/>
      <c r="C114" s="120" t="s">
        <v>47</v>
      </c>
      <c r="D114" s="120" t="s">
        <v>732</v>
      </c>
      <c r="E114" s="120" t="s">
        <v>746</v>
      </c>
      <c r="F114" s="120" t="s">
        <v>504</v>
      </c>
      <c r="G114" s="120" t="s">
        <v>380</v>
      </c>
      <c r="H114" s="384" t="s">
        <v>745</v>
      </c>
      <c r="I114" s="762"/>
    </row>
    <row r="115" spans="1:10" ht="15" customHeight="1" x14ac:dyDescent="0.2">
      <c r="A115" s="121" t="s">
        <v>141</v>
      </c>
      <c r="B115" s="122" t="s">
        <v>411</v>
      </c>
      <c r="C115" s="123">
        <v>3904350</v>
      </c>
      <c r="D115" s="123">
        <v>3037600</v>
      </c>
      <c r="E115" s="123">
        <v>2341600</v>
      </c>
      <c r="F115" s="123">
        <f>H115-D115</f>
        <v>0</v>
      </c>
      <c r="G115" s="272">
        <f>H115/D115*100</f>
        <v>100</v>
      </c>
      <c r="H115" s="603">
        <f>'Kiadások részletes COFOG'!F204</f>
        <v>3037600</v>
      </c>
      <c r="I115" s="762">
        <f t="shared" si="20"/>
        <v>77.087174084803792</v>
      </c>
      <c r="J115" s="69">
        <f t="shared" si="21"/>
        <v>696000</v>
      </c>
    </row>
    <row r="116" spans="1:10" ht="15" customHeight="1" x14ac:dyDescent="0.2">
      <c r="A116" s="99" t="s">
        <v>155</v>
      </c>
      <c r="B116" s="77" t="s">
        <v>156</v>
      </c>
      <c r="C116" s="91">
        <v>270000</v>
      </c>
      <c r="D116" s="91">
        <v>200000</v>
      </c>
      <c r="E116" s="91">
        <v>152206</v>
      </c>
      <c r="F116" s="123">
        <f t="shared" ref="F116:F120" si="32">H116-D116</f>
        <v>0</v>
      </c>
      <c r="G116" s="162">
        <f>H116/D116*100</f>
        <v>100</v>
      </c>
      <c r="H116" s="136">
        <f>'Kiadások részletes COFOG'!F209</f>
        <v>200000</v>
      </c>
      <c r="I116" s="762">
        <f t="shared" si="20"/>
        <v>76.102999999999994</v>
      </c>
      <c r="J116" s="69">
        <f t="shared" si="21"/>
        <v>47794</v>
      </c>
    </row>
    <row r="117" spans="1:10" ht="15" customHeight="1" x14ac:dyDescent="0.2">
      <c r="A117" s="99" t="s">
        <v>167</v>
      </c>
      <c r="B117" s="77" t="s">
        <v>168</v>
      </c>
      <c r="C117" s="91">
        <v>0</v>
      </c>
      <c r="D117" s="91">
        <v>0</v>
      </c>
      <c r="E117" s="91">
        <v>16433</v>
      </c>
      <c r="F117" s="123">
        <f t="shared" si="32"/>
        <v>16433</v>
      </c>
      <c r="G117" s="162">
        <v>0</v>
      </c>
      <c r="H117" s="136">
        <f>'Kiadások részletes COFOG'!F211</f>
        <v>16433</v>
      </c>
      <c r="I117" s="762"/>
      <c r="J117" s="69">
        <f t="shared" si="21"/>
        <v>0</v>
      </c>
    </row>
    <row r="118" spans="1:10" ht="21.75" customHeight="1" x14ac:dyDescent="0.2">
      <c r="A118" s="99" t="s">
        <v>210</v>
      </c>
      <c r="B118" s="77" t="s">
        <v>268</v>
      </c>
      <c r="C118" s="91">
        <v>0</v>
      </c>
      <c r="D118" s="91">
        <v>0</v>
      </c>
      <c r="E118" s="91">
        <v>4437</v>
      </c>
      <c r="F118" s="123">
        <f t="shared" si="32"/>
        <v>4437</v>
      </c>
      <c r="G118" s="162">
        <v>0</v>
      </c>
      <c r="H118" s="136">
        <f>'Kiadások részletes COFOG'!F212</f>
        <v>4437</v>
      </c>
      <c r="I118" s="762"/>
      <c r="J118" s="69">
        <f t="shared" si="21"/>
        <v>0</v>
      </c>
    </row>
    <row r="119" spans="1:10" ht="21.75" customHeight="1" x14ac:dyDescent="0.2">
      <c r="A119" s="99" t="s">
        <v>244</v>
      </c>
      <c r="B119" s="77" t="s">
        <v>245</v>
      </c>
      <c r="C119" s="91">
        <v>0</v>
      </c>
      <c r="D119" s="91">
        <v>0</v>
      </c>
      <c r="E119" s="91">
        <v>111810</v>
      </c>
      <c r="F119" s="123">
        <f t="shared" si="32"/>
        <v>111810</v>
      </c>
      <c r="G119" s="162">
        <v>0</v>
      </c>
      <c r="H119" s="136">
        <f>'Kiadások részletes COFOG'!F213</f>
        <v>111810</v>
      </c>
      <c r="I119" s="762"/>
      <c r="J119" s="69">
        <f t="shared" si="21"/>
        <v>0</v>
      </c>
    </row>
    <row r="120" spans="1:10" ht="22.5" customHeight="1" thickBot="1" x14ac:dyDescent="0.25">
      <c r="A120" s="79" t="s">
        <v>246</v>
      </c>
      <c r="B120" s="80" t="s">
        <v>273</v>
      </c>
      <c r="C120" s="91">
        <v>0</v>
      </c>
      <c r="D120" s="91"/>
      <c r="E120" s="91">
        <v>30189</v>
      </c>
      <c r="F120" s="123">
        <f t="shared" si="32"/>
        <v>30189</v>
      </c>
      <c r="G120" s="162">
        <v>0</v>
      </c>
      <c r="H120" s="137">
        <f>'Kiadások részletes COFOG'!F214</f>
        <v>30189</v>
      </c>
      <c r="I120" s="762"/>
      <c r="J120" s="69">
        <f t="shared" si="21"/>
        <v>0</v>
      </c>
    </row>
    <row r="121" spans="1:10" ht="20.25" customHeight="1" thickBot="1" x14ac:dyDescent="0.25">
      <c r="A121" s="909" t="s">
        <v>276</v>
      </c>
      <c r="B121" s="909"/>
      <c r="C121" s="287">
        <f>SUM(C115:C120)</f>
        <v>4174350</v>
      </c>
      <c r="D121" s="287">
        <f t="shared" ref="D121:E121" si="33">SUM(D115:D120)</f>
        <v>3237600</v>
      </c>
      <c r="E121" s="287">
        <f t="shared" si="33"/>
        <v>2656675</v>
      </c>
      <c r="F121" s="287">
        <f>SUM(F115:F120)</f>
        <v>162869</v>
      </c>
      <c r="G121" s="288">
        <f>H121/D121*100</f>
        <v>105.03054731900173</v>
      </c>
      <c r="H121" s="289">
        <f>SUM(H115:H120)</f>
        <v>3400469</v>
      </c>
      <c r="I121" s="762"/>
    </row>
    <row r="122" spans="1:10" ht="20.25" hidden="1" customHeight="1" thickBot="1" x14ac:dyDescent="0.25">
      <c r="A122" s="857" t="s">
        <v>412</v>
      </c>
      <c r="B122" s="857"/>
      <c r="C122" s="857"/>
      <c r="D122" s="857"/>
      <c r="E122" s="857"/>
      <c r="F122" s="857"/>
      <c r="G122" s="857"/>
      <c r="H122" s="857"/>
      <c r="I122" s="762" t="e">
        <f t="shared" si="20"/>
        <v>#DIV/0!</v>
      </c>
      <c r="J122" s="69">
        <f t="shared" si="21"/>
        <v>0</v>
      </c>
    </row>
    <row r="123" spans="1:10" ht="20.25" hidden="1" customHeight="1" x14ac:dyDescent="0.2">
      <c r="A123" s="911" t="s">
        <v>45</v>
      </c>
      <c r="B123" s="912" t="s">
        <v>46</v>
      </c>
      <c r="C123" s="898">
        <v>2021</v>
      </c>
      <c r="D123" s="899"/>
      <c r="E123" s="899"/>
      <c r="F123" s="900"/>
      <c r="G123" s="900"/>
      <c r="H123" s="385">
        <v>2022</v>
      </c>
      <c r="I123" s="762">
        <f t="shared" si="20"/>
        <v>0</v>
      </c>
      <c r="J123" s="69">
        <f t="shared" si="21"/>
        <v>2022</v>
      </c>
    </row>
    <row r="124" spans="1:10" ht="20.25" hidden="1" customHeight="1" thickBot="1" x14ac:dyDescent="0.25">
      <c r="A124" s="911"/>
      <c r="B124" s="912"/>
      <c r="C124" s="120" t="s">
        <v>47</v>
      </c>
      <c r="D124" s="120"/>
      <c r="E124" s="120"/>
      <c r="F124" s="120" t="s">
        <v>504</v>
      </c>
      <c r="G124" s="120" t="s">
        <v>380</v>
      </c>
      <c r="H124" s="384" t="s">
        <v>505</v>
      </c>
      <c r="I124" s="762" t="e">
        <f t="shared" si="20"/>
        <v>#VALUE!</v>
      </c>
      <c r="J124" s="69" t="e">
        <f t="shared" si="21"/>
        <v>#VALUE!</v>
      </c>
    </row>
    <row r="125" spans="1:10" ht="20.25" hidden="1" customHeight="1" x14ac:dyDescent="0.2">
      <c r="A125" s="76" t="s">
        <v>141</v>
      </c>
      <c r="B125" s="77" t="s">
        <v>411</v>
      </c>
      <c r="C125" s="91"/>
      <c r="D125" s="91"/>
      <c r="E125" s="91"/>
      <c r="F125" s="91"/>
      <c r="G125" s="162"/>
      <c r="H125" s="136"/>
      <c r="I125" s="762" t="e">
        <f t="shared" si="20"/>
        <v>#DIV/0!</v>
      </c>
      <c r="J125" s="69">
        <f t="shared" si="21"/>
        <v>0</v>
      </c>
    </row>
    <row r="126" spans="1:10" ht="20.25" hidden="1" customHeight="1" x14ac:dyDescent="0.2">
      <c r="A126" s="99" t="s">
        <v>147</v>
      </c>
      <c r="B126" s="77" t="s">
        <v>148</v>
      </c>
      <c r="C126" s="91"/>
      <c r="D126" s="91"/>
      <c r="E126" s="91"/>
      <c r="F126" s="91"/>
      <c r="G126" s="162"/>
      <c r="H126" s="136"/>
      <c r="I126" s="762" t="e">
        <f t="shared" si="20"/>
        <v>#DIV/0!</v>
      </c>
      <c r="J126" s="69">
        <f t="shared" si="21"/>
        <v>0</v>
      </c>
    </row>
    <row r="127" spans="1:10" ht="20.25" hidden="1" customHeight="1" x14ac:dyDescent="0.2">
      <c r="A127" s="99" t="s">
        <v>155</v>
      </c>
      <c r="B127" s="77" t="s">
        <v>156</v>
      </c>
      <c r="C127" s="91"/>
      <c r="D127" s="91"/>
      <c r="E127" s="91"/>
      <c r="F127" s="91"/>
      <c r="G127" s="162"/>
      <c r="H127" s="136"/>
      <c r="I127" s="762" t="e">
        <f t="shared" si="20"/>
        <v>#DIV/0!</v>
      </c>
      <c r="J127" s="69">
        <f t="shared" si="21"/>
        <v>0</v>
      </c>
    </row>
    <row r="128" spans="1:10" ht="20.25" hidden="1" customHeight="1" x14ac:dyDescent="0.2">
      <c r="A128" s="99" t="s">
        <v>167</v>
      </c>
      <c r="B128" s="77" t="s">
        <v>168</v>
      </c>
      <c r="C128" s="91"/>
      <c r="D128" s="91"/>
      <c r="E128" s="91"/>
      <c r="F128" s="91"/>
      <c r="G128" s="162"/>
      <c r="H128" s="136"/>
      <c r="I128" s="762" t="e">
        <f t="shared" si="20"/>
        <v>#DIV/0!</v>
      </c>
      <c r="J128" s="69">
        <f t="shared" si="21"/>
        <v>0</v>
      </c>
    </row>
    <row r="129" spans="1:17" ht="20.25" hidden="1" customHeight="1" thickBot="1" x14ac:dyDescent="0.25">
      <c r="A129" s="99" t="s">
        <v>210</v>
      </c>
      <c r="B129" s="77" t="s">
        <v>268</v>
      </c>
      <c r="C129" s="91"/>
      <c r="D129" s="91"/>
      <c r="E129" s="91"/>
      <c r="F129" s="91"/>
      <c r="G129" s="162"/>
      <c r="H129" s="136"/>
      <c r="I129" s="762" t="e">
        <f t="shared" si="20"/>
        <v>#DIV/0!</v>
      </c>
      <c r="J129" s="69">
        <f t="shared" si="21"/>
        <v>0</v>
      </c>
    </row>
    <row r="130" spans="1:17" ht="20.25" hidden="1" customHeight="1" thickBot="1" x14ac:dyDescent="0.25">
      <c r="A130" s="909" t="s">
        <v>276</v>
      </c>
      <c r="B130" s="909"/>
      <c r="C130" s="287"/>
      <c r="D130" s="287"/>
      <c r="E130" s="287"/>
      <c r="F130" s="287"/>
      <c r="G130" s="288"/>
      <c r="H130" s="289"/>
      <c r="I130" s="762" t="e">
        <f t="shared" si="20"/>
        <v>#DIV/0!</v>
      </c>
      <c r="J130" s="69">
        <f t="shared" si="21"/>
        <v>0</v>
      </c>
    </row>
    <row r="131" spans="1:17" ht="24" customHeight="1" thickBot="1" x14ac:dyDescent="0.25">
      <c r="A131" s="857" t="s">
        <v>282</v>
      </c>
      <c r="B131" s="857"/>
      <c r="C131" s="857"/>
      <c r="D131" s="857"/>
      <c r="E131" s="857"/>
      <c r="F131" s="857"/>
      <c r="G131" s="857"/>
      <c r="H131" s="857"/>
      <c r="I131" s="762"/>
    </row>
    <row r="132" spans="1:17" ht="23.25" customHeight="1" x14ac:dyDescent="0.2">
      <c r="A132" s="911" t="s">
        <v>45</v>
      </c>
      <c r="B132" s="912" t="s">
        <v>46</v>
      </c>
      <c r="C132" s="898">
        <v>2023</v>
      </c>
      <c r="D132" s="899"/>
      <c r="E132" s="899"/>
      <c r="F132" s="899"/>
      <c r="G132" s="899"/>
      <c r="H132" s="902"/>
      <c r="I132" s="762"/>
    </row>
    <row r="133" spans="1:17" ht="25.5" customHeight="1" thickBot="1" x14ac:dyDescent="0.25">
      <c r="A133" s="911"/>
      <c r="B133" s="912"/>
      <c r="C133" s="120" t="s">
        <v>47</v>
      </c>
      <c r="D133" s="120" t="s">
        <v>732</v>
      </c>
      <c r="E133" s="120" t="s">
        <v>746</v>
      </c>
      <c r="F133" s="120" t="s">
        <v>504</v>
      </c>
      <c r="G133" s="120" t="s">
        <v>380</v>
      </c>
      <c r="H133" s="384" t="s">
        <v>745</v>
      </c>
      <c r="I133" s="762"/>
    </row>
    <row r="134" spans="1:17" ht="15" customHeight="1" x14ac:dyDescent="0.2">
      <c r="A134" s="76" t="s">
        <v>167</v>
      </c>
      <c r="B134" s="77" t="s">
        <v>168</v>
      </c>
      <c r="C134" s="91">
        <v>700000</v>
      </c>
      <c r="D134" s="91">
        <v>700000</v>
      </c>
      <c r="E134" s="91">
        <v>453649</v>
      </c>
      <c r="F134" s="91">
        <f>H134-D134</f>
        <v>0</v>
      </c>
      <c r="G134" s="162">
        <f>H134/D134*100</f>
        <v>100</v>
      </c>
      <c r="H134" s="92">
        <f>'Kiadások részletes COFOG'!F229</f>
        <v>700000</v>
      </c>
      <c r="I134" s="762">
        <f t="shared" si="20"/>
        <v>64.807000000000002</v>
      </c>
      <c r="J134" s="69">
        <f t="shared" si="21"/>
        <v>246351</v>
      </c>
    </row>
    <row r="135" spans="1:17" ht="15" customHeight="1" x14ac:dyDescent="0.2">
      <c r="A135" s="76" t="s">
        <v>196</v>
      </c>
      <c r="B135" s="77" t="s">
        <v>197</v>
      </c>
      <c r="C135" s="91">
        <v>1830000</v>
      </c>
      <c r="D135" s="91">
        <v>1830000</v>
      </c>
      <c r="E135" s="91">
        <v>825000</v>
      </c>
      <c r="F135" s="91">
        <f t="shared" ref="F135:F140" si="34">H135-D135</f>
        <v>0</v>
      </c>
      <c r="G135" s="162">
        <f t="shared" ref="G135:G138" si="35">H135/D135*100</f>
        <v>100</v>
      </c>
      <c r="H135" s="92">
        <f>'Kiadások részletes COFOG'!F233</f>
        <v>1830000</v>
      </c>
      <c r="I135" s="762">
        <f t="shared" si="20"/>
        <v>45.081967213114751</v>
      </c>
      <c r="J135" s="69">
        <f t="shared" si="21"/>
        <v>1005000</v>
      </c>
    </row>
    <row r="136" spans="1:17" ht="15" customHeight="1" x14ac:dyDescent="0.2">
      <c r="A136" s="76" t="s">
        <v>202</v>
      </c>
      <c r="B136" s="77" t="s">
        <v>203</v>
      </c>
      <c r="C136" s="91">
        <v>3000000</v>
      </c>
      <c r="D136" s="91">
        <v>3000000</v>
      </c>
      <c r="E136" s="91">
        <v>1172000</v>
      </c>
      <c r="F136" s="91">
        <f t="shared" si="34"/>
        <v>0</v>
      </c>
      <c r="G136" s="162">
        <f t="shared" si="35"/>
        <v>100</v>
      </c>
      <c r="H136" s="92">
        <f>'Kiadások részletes COFOG'!F234</f>
        <v>3000000</v>
      </c>
      <c r="I136" s="762">
        <f t="shared" si="20"/>
        <v>39.066666666666663</v>
      </c>
      <c r="J136" s="69">
        <f t="shared" si="21"/>
        <v>1828000</v>
      </c>
    </row>
    <row r="137" spans="1:17" ht="15" customHeight="1" x14ac:dyDescent="0.2">
      <c r="A137" s="76" t="s">
        <v>206</v>
      </c>
      <c r="B137" s="77" t="s">
        <v>207</v>
      </c>
      <c r="C137" s="91">
        <v>0</v>
      </c>
      <c r="D137" s="91">
        <v>0</v>
      </c>
      <c r="E137" s="91">
        <v>0</v>
      </c>
      <c r="F137" s="91">
        <f t="shared" si="34"/>
        <v>0</v>
      </c>
      <c r="G137" s="162">
        <v>0</v>
      </c>
      <c r="H137" s="92">
        <v>0</v>
      </c>
      <c r="I137" s="762"/>
    </row>
    <row r="138" spans="1:17" ht="21" x14ac:dyDescent="0.2">
      <c r="A138" s="76" t="s">
        <v>210</v>
      </c>
      <c r="B138" s="77" t="s">
        <v>268</v>
      </c>
      <c r="C138" s="91">
        <v>1500000</v>
      </c>
      <c r="D138" s="91">
        <v>1500000</v>
      </c>
      <c r="E138" s="91">
        <v>586076</v>
      </c>
      <c r="F138" s="91">
        <f t="shared" si="34"/>
        <v>0</v>
      </c>
      <c r="G138" s="162">
        <f t="shared" si="35"/>
        <v>100</v>
      </c>
      <c r="H138" s="92">
        <f>'Kiadások részletes COFOG'!F237</f>
        <v>1500000</v>
      </c>
      <c r="I138" s="762">
        <f t="shared" si="20"/>
        <v>39.071733333333334</v>
      </c>
      <c r="J138" s="69">
        <f t="shared" si="21"/>
        <v>913924</v>
      </c>
    </row>
    <row r="139" spans="1:17" ht="15" customHeight="1" x14ac:dyDescent="0.2">
      <c r="A139" s="76" t="s">
        <v>248</v>
      </c>
      <c r="B139" s="77" t="s">
        <v>249</v>
      </c>
      <c r="C139" s="91">
        <v>0</v>
      </c>
      <c r="D139" s="91">
        <v>0</v>
      </c>
      <c r="E139" s="91"/>
      <c r="F139" s="91">
        <f t="shared" si="34"/>
        <v>0</v>
      </c>
      <c r="G139" s="162">
        <v>0</v>
      </c>
      <c r="H139" s="92">
        <f>'Kiadások részletes COFOG'!F239</f>
        <v>0</v>
      </c>
      <c r="I139" s="762"/>
      <c r="K139" s="913"/>
      <c r="L139" s="913"/>
      <c r="N139" s="126"/>
    </row>
    <row r="140" spans="1:17" ht="21.75" thickBot="1" x14ac:dyDescent="0.25">
      <c r="A140" s="88" t="s">
        <v>252</v>
      </c>
      <c r="B140" s="80" t="s">
        <v>274</v>
      </c>
      <c r="C140" s="83">
        <v>0</v>
      </c>
      <c r="D140" s="83">
        <v>0</v>
      </c>
      <c r="E140" s="83"/>
      <c r="F140" s="91">
        <f t="shared" si="34"/>
        <v>0</v>
      </c>
      <c r="G140" s="162">
        <v>0</v>
      </c>
      <c r="H140" s="84">
        <f>'Kiadások részletes COFOG'!F240</f>
        <v>0</v>
      </c>
      <c r="I140" s="762"/>
    </row>
    <row r="141" spans="1:17" ht="21" customHeight="1" thickBot="1" x14ac:dyDescent="0.25">
      <c r="A141" s="897" t="s">
        <v>276</v>
      </c>
      <c r="B141" s="897"/>
      <c r="C141" s="81">
        <f>SUM(C134:C140)</f>
        <v>7030000</v>
      </c>
      <c r="D141" s="81">
        <f t="shared" ref="D141:E141" si="36">SUM(D134:D140)</f>
        <v>7030000</v>
      </c>
      <c r="E141" s="81">
        <f t="shared" si="36"/>
        <v>3036725</v>
      </c>
      <c r="F141" s="81">
        <f>SUM(F134:F140)</f>
        <v>0</v>
      </c>
      <c r="G141" s="273">
        <f>H141/D141*100</f>
        <v>100</v>
      </c>
      <c r="H141" s="82">
        <f>SUM(H134:H140)</f>
        <v>7030000</v>
      </c>
      <c r="I141" s="762">
        <f t="shared" ref="I141:I203" si="37">SUM(E141/H141*100)</f>
        <v>43.196657183499291</v>
      </c>
      <c r="J141" s="69">
        <f t="shared" ref="J141:J203" si="38">SUM(H141-E141)</f>
        <v>3993275</v>
      </c>
      <c r="O141" s="34"/>
      <c r="P141" s="34"/>
    </row>
    <row r="142" spans="1:17" ht="30" customHeight="1" thickBot="1" x14ac:dyDescent="0.25">
      <c r="A142" s="857" t="s">
        <v>131</v>
      </c>
      <c r="B142" s="857"/>
      <c r="C142" s="857"/>
      <c r="D142" s="857"/>
      <c r="E142" s="857"/>
      <c r="F142" s="857"/>
      <c r="G142" s="857"/>
      <c r="H142" s="857"/>
      <c r="I142" s="762"/>
    </row>
    <row r="143" spans="1:17" ht="18" customHeight="1" x14ac:dyDescent="0.2">
      <c r="A143" s="911" t="s">
        <v>45</v>
      </c>
      <c r="B143" s="912" t="s">
        <v>46</v>
      </c>
      <c r="C143" s="898">
        <v>2023</v>
      </c>
      <c r="D143" s="899"/>
      <c r="E143" s="899"/>
      <c r="F143" s="899"/>
      <c r="G143" s="899"/>
      <c r="H143" s="902"/>
      <c r="I143" s="762"/>
      <c r="N143" s="34"/>
      <c r="O143" s="34"/>
      <c r="P143" s="34"/>
      <c r="Q143" s="34"/>
    </row>
    <row r="144" spans="1:17" ht="24.75" customHeight="1" thickBot="1" x14ac:dyDescent="0.25">
      <c r="A144" s="911"/>
      <c r="B144" s="912"/>
      <c r="C144" s="120" t="s">
        <v>47</v>
      </c>
      <c r="D144" s="120" t="s">
        <v>732</v>
      </c>
      <c r="E144" s="120" t="s">
        <v>746</v>
      </c>
      <c r="F144" s="120" t="s">
        <v>504</v>
      </c>
      <c r="G144" s="120" t="s">
        <v>380</v>
      </c>
      <c r="H144" s="384" t="s">
        <v>745</v>
      </c>
      <c r="I144" s="762"/>
    </row>
    <row r="145" spans="1:10" ht="12.75" customHeight="1" x14ac:dyDescent="0.2">
      <c r="A145" s="76" t="s">
        <v>190</v>
      </c>
      <c r="B145" s="77" t="s">
        <v>277</v>
      </c>
      <c r="C145" s="305">
        <v>0</v>
      </c>
      <c r="D145" s="305"/>
      <c r="E145" s="305"/>
      <c r="F145" s="91">
        <f>H145-C145</f>
        <v>0</v>
      </c>
      <c r="G145" s="162"/>
      <c r="H145" s="809">
        <v>0</v>
      </c>
      <c r="I145" s="762"/>
    </row>
    <row r="146" spans="1:10" ht="12.75" customHeight="1" x14ac:dyDescent="0.2">
      <c r="A146" s="76" t="s">
        <v>196</v>
      </c>
      <c r="B146" s="77" t="s">
        <v>197</v>
      </c>
      <c r="C146" s="305"/>
      <c r="D146" s="305"/>
      <c r="E146" s="305"/>
      <c r="F146" s="91">
        <f>H146-C146</f>
        <v>0</v>
      </c>
      <c r="G146" s="162"/>
      <c r="H146" s="809">
        <v>0</v>
      </c>
      <c r="I146" s="762"/>
    </row>
    <row r="147" spans="1:10" ht="12.75" customHeight="1" x14ac:dyDescent="0.2">
      <c r="A147" s="76" t="s">
        <v>250</v>
      </c>
      <c r="B147" s="77" t="s">
        <v>251</v>
      </c>
      <c r="C147" s="305">
        <v>7000000</v>
      </c>
      <c r="D147" s="305">
        <v>7000000</v>
      </c>
      <c r="E147" s="305">
        <v>0</v>
      </c>
      <c r="F147" s="91">
        <f>H147-C147</f>
        <v>0</v>
      </c>
      <c r="G147" s="162">
        <f>H147/C147*100</f>
        <v>100</v>
      </c>
      <c r="H147" s="136">
        <f>'Kiadások részletes COFOG'!F247</f>
        <v>7000000</v>
      </c>
      <c r="I147" s="762"/>
      <c r="J147" s="69">
        <f t="shared" si="38"/>
        <v>7000000</v>
      </c>
    </row>
    <row r="148" spans="1:10" ht="21.75" customHeight="1" thickBot="1" x14ac:dyDescent="0.25">
      <c r="A148" s="88" t="s">
        <v>252</v>
      </c>
      <c r="B148" s="80" t="s">
        <v>274</v>
      </c>
      <c r="C148" s="357">
        <v>1890000</v>
      </c>
      <c r="D148" s="357">
        <v>1890000</v>
      </c>
      <c r="E148" s="357">
        <v>0</v>
      </c>
      <c r="F148" s="91">
        <f>H148-C148</f>
        <v>0</v>
      </c>
      <c r="G148" s="162">
        <f>H148/C148*100</f>
        <v>100</v>
      </c>
      <c r="H148" s="137">
        <f>'Kiadások részletes COFOG'!F248</f>
        <v>1890000</v>
      </c>
      <c r="I148" s="762"/>
      <c r="J148" s="69">
        <f t="shared" si="38"/>
        <v>1890000</v>
      </c>
    </row>
    <row r="149" spans="1:10" ht="21" customHeight="1" thickBot="1" x14ac:dyDescent="0.25">
      <c r="A149" s="897" t="s">
        <v>276</v>
      </c>
      <c r="B149" s="897"/>
      <c r="C149" s="359">
        <f>SUM(C147:C148)</f>
        <v>8890000</v>
      </c>
      <c r="D149" s="359">
        <f t="shared" ref="D149:E149" si="39">SUM(D147:D148)</f>
        <v>8890000</v>
      </c>
      <c r="E149" s="359">
        <f t="shared" si="39"/>
        <v>0</v>
      </c>
      <c r="F149" s="81">
        <f>SUM(F145:F148)</f>
        <v>0</v>
      </c>
      <c r="G149" s="273">
        <f>H149/C149*100</f>
        <v>100</v>
      </c>
      <c r="H149" s="138">
        <f>SUM(H145:H148)</f>
        <v>8890000</v>
      </c>
      <c r="I149" s="762"/>
      <c r="J149" s="69">
        <f t="shared" si="38"/>
        <v>8890000</v>
      </c>
    </row>
    <row r="150" spans="1:10" ht="21" customHeight="1" thickBot="1" x14ac:dyDescent="0.25">
      <c r="A150" s="857" t="s">
        <v>496</v>
      </c>
      <c r="B150" s="857"/>
      <c r="C150" s="857"/>
      <c r="D150" s="857"/>
      <c r="E150" s="857"/>
      <c r="F150" s="857"/>
      <c r="G150" s="857"/>
      <c r="H150" s="857"/>
      <c r="I150" s="762"/>
    </row>
    <row r="151" spans="1:10" ht="21" customHeight="1" x14ac:dyDescent="0.2">
      <c r="A151" s="911" t="s">
        <v>45</v>
      </c>
      <c r="B151" s="912" t="s">
        <v>46</v>
      </c>
      <c r="C151" s="898">
        <v>2023</v>
      </c>
      <c r="D151" s="899"/>
      <c r="E151" s="899"/>
      <c r="F151" s="899"/>
      <c r="G151" s="899"/>
      <c r="H151" s="902"/>
      <c r="I151" s="762"/>
    </row>
    <row r="152" spans="1:10" ht="21" customHeight="1" thickBot="1" x14ac:dyDescent="0.25">
      <c r="A152" s="911"/>
      <c r="B152" s="912"/>
      <c r="C152" s="120" t="s">
        <v>47</v>
      </c>
      <c r="D152" s="120" t="s">
        <v>732</v>
      </c>
      <c r="E152" s="120" t="s">
        <v>746</v>
      </c>
      <c r="F152" s="120" t="s">
        <v>504</v>
      </c>
      <c r="G152" s="120" t="s">
        <v>380</v>
      </c>
      <c r="H152" s="384" t="s">
        <v>745</v>
      </c>
      <c r="I152" s="762"/>
    </row>
    <row r="153" spans="1:10" ht="21" customHeight="1" x14ac:dyDescent="0.2">
      <c r="A153" s="99" t="s">
        <v>145</v>
      </c>
      <c r="B153" s="77" t="s">
        <v>722</v>
      </c>
      <c r="C153" s="305">
        <v>0</v>
      </c>
      <c r="D153" s="305">
        <v>3120000</v>
      </c>
      <c r="E153" s="305">
        <v>2340000</v>
      </c>
      <c r="F153" s="91">
        <f>H153-D153</f>
        <v>0</v>
      </c>
      <c r="G153" s="162">
        <f>SUM(H153/D153*100)</f>
        <v>100</v>
      </c>
      <c r="H153" s="136">
        <f>SUM('Kiadások részletes COFOG'!F253)</f>
        <v>3120000</v>
      </c>
      <c r="I153" s="762">
        <f t="shared" si="37"/>
        <v>75</v>
      </c>
      <c r="J153" s="69">
        <f t="shared" si="38"/>
        <v>780000</v>
      </c>
    </row>
    <row r="154" spans="1:10" ht="21" customHeight="1" x14ac:dyDescent="0.2">
      <c r="A154" s="99" t="s">
        <v>344</v>
      </c>
      <c r="B154" s="77" t="s">
        <v>624</v>
      </c>
      <c r="C154" s="305">
        <v>0</v>
      </c>
      <c r="D154" s="305">
        <v>405600</v>
      </c>
      <c r="E154" s="305">
        <v>304200</v>
      </c>
      <c r="F154" s="91">
        <f t="shared" ref="F154:F159" si="40">H154-D154</f>
        <v>0</v>
      </c>
      <c r="G154" s="162">
        <f t="shared" ref="G154:G159" si="41">SUM(H154/D154*100)</f>
        <v>100</v>
      </c>
      <c r="H154" s="136">
        <f>SUM('Kiadások részletes COFOG'!F255)</f>
        <v>405600</v>
      </c>
      <c r="I154" s="762">
        <f t="shared" si="37"/>
        <v>75</v>
      </c>
      <c r="J154" s="69">
        <f t="shared" si="38"/>
        <v>101400</v>
      </c>
    </row>
    <row r="155" spans="1:10" ht="21" customHeight="1" x14ac:dyDescent="0.2">
      <c r="A155" s="282" t="s">
        <v>167</v>
      </c>
      <c r="B155" s="518" t="s">
        <v>168</v>
      </c>
      <c r="C155" s="609">
        <v>0</v>
      </c>
      <c r="D155" s="609">
        <v>874713</v>
      </c>
      <c r="E155" s="609">
        <v>874713</v>
      </c>
      <c r="F155" s="91">
        <f t="shared" si="40"/>
        <v>0</v>
      </c>
      <c r="G155" s="162">
        <f t="shared" si="41"/>
        <v>100</v>
      </c>
      <c r="H155" s="603">
        <f>SUM('Kiadások részletes COFOG'!F257)</f>
        <v>874713</v>
      </c>
      <c r="I155" s="762">
        <f t="shared" si="37"/>
        <v>100</v>
      </c>
      <c r="J155" s="69">
        <f t="shared" si="38"/>
        <v>0</v>
      </c>
    </row>
    <row r="156" spans="1:10" ht="21" customHeight="1" x14ac:dyDescent="0.2">
      <c r="A156" s="282" t="s">
        <v>210</v>
      </c>
      <c r="B156" s="518" t="s">
        <v>268</v>
      </c>
      <c r="C156" s="609">
        <v>0</v>
      </c>
      <c r="D156" s="609">
        <v>236173</v>
      </c>
      <c r="E156" s="609">
        <v>236173</v>
      </c>
      <c r="F156" s="91">
        <f t="shared" si="40"/>
        <v>0</v>
      </c>
      <c r="G156" s="162">
        <f t="shared" si="41"/>
        <v>100</v>
      </c>
      <c r="H156" s="603">
        <f>SUM('Kiadások részletes COFOG'!F261)</f>
        <v>236173</v>
      </c>
      <c r="I156" s="762">
        <f t="shared" si="37"/>
        <v>100</v>
      </c>
      <c r="J156" s="69">
        <f t="shared" si="38"/>
        <v>0</v>
      </c>
    </row>
    <row r="157" spans="1:10" ht="21" customHeight="1" x14ac:dyDescent="0.2">
      <c r="A157" s="99" t="s">
        <v>242</v>
      </c>
      <c r="B157" s="169" t="s">
        <v>719</v>
      </c>
      <c r="C157" s="355">
        <v>0</v>
      </c>
      <c r="D157" s="355">
        <v>382280</v>
      </c>
      <c r="E157" s="355">
        <v>421327</v>
      </c>
      <c r="F157" s="91">
        <f t="shared" si="40"/>
        <v>39047</v>
      </c>
      <c r="G157" s="162">
        <f t="shared" si="41"/>
        <v>110.21424087056609</v>
      </c>
      <c r="H157" s="136">
        <f>SUM('Kiadások részletes COFOG'!F264)</f>
        <v>421327</v>
      </c>
      <c r="I157" s="762">
        <f t="shared" si="37"/>
        <v>100</v>
      </c>
      <c r="J157" s="69">
        <f t="shared" si="38"/>
        <v>0</v>
      </c>
    </row>
    <row r="158" spans="1:10" ht="21" customHeight="1" x14ac:dyDescent="0.2">
      <c r="A158" s="99" t="s">
        <v>244</v>
      </c>
      <c r="B158" s="169" t="s">
        <v>720</v>
      </c>
      <c r="C158" s="355">
        <v>0</v>
      </c>
      <c r="D158" s="355">
        <v>88946</v>
      </c>
      <c r="E158" s="355">
        <v>236899</v>
      </c>
      <c r="F158" s="91">
        <f t="shared" si="40"/>
        <v>147953</v>
      </c>
      <c r="G158" s="162">
        <f t="shared" si="41"/>
        <v>266.3402513884829</v>
      </c>
      <c r="H158" s="136">
        <f>SUM('Kiadások részletes COFOG'!F266)</f>
        <v>236899</v>
      </c>
      <c r="I158" s="762">
        <f t="shared" si="37"/>
        <v>100</v>
      </c>
      <c r="J158" s="69">
        <f t="shared" si="38"/>
        <v>0</v>
      </c>
    </row>
    <row r="159" spans="1:10" ht="21" customHeight="1" thickBot="1" x14ac:dyDescent="0.25">
      <c r="A159" s="87" t="s">
        <v>246</v>
      </c>
      <c r="B159" s="369" t="s">
        <v>273</v>
      </c>
      <c r="C159" s="598">
        <v>0</v>
      </c>
      <c r="D159" s="598">
        <v>127232</v>
      </c>
      <c r="E159" s="598">
        <v>177722</v>
      </c>
      <c r="F159" s="91">
        <f t="shared" si="40"/>
        <v>50490</v>
      </c>
      <c r="G159" s="162">
        <f t="shared" si="41"/>
        <v>139.68341297786719</v>
      </c>
      <c r="H159" s="623">
        <f>SUM('Kiadások részletes COFOG'!F268)</f>
        <v>177722</v>
      </c>
      <c r="I159" s="762">
        <f t="shared" si="37"/>
        <v>100</v>
      </c>
      <c r="J159" s="69">
        <f t="shared" si="38"/>
        <v>0</v>
      </c>
    </row>
    <row r="160" spans="1:10" ht="21" customHeight="1" thickBot="1" x14ac:dyDescent="0.25">
      <c r="A160" s="897" t="s">
        <v>276</v>
      </c>
      <c r="B160" s="897"/>
      <c r="C160" s="359">
        <f>SUM(C153:C154)</f>
        <v>0</v>
      </c>
      <c r="D160" s="359">
        <f>SUM(D153:D159)</f>
        <v>5234944</v>
      </c>
      <c r="E160" s="359">
        <f>SUM(E153:E159)</f>
        <v>4591034</v>
      </c>
      <c r="F160" s="81">
        <f>SUM(F153:F159)</f>
        <v>237490</v>
      </c>
      <c r="G160" s="273">
        <f>SUM(H160/D160*100)</f>
        <v>104.53662923614846</v>
      </c>
      <c r="H160" s="138">
        <f>SUM(H153:H159)</f>
        <v>5472434</v>
      </c>
      <c r="I160" s="762">
        <f t="shared" si="37"/>
        <v>83.893821286835063</v>
      </c>
      <c r="J160" s="69">
        <f t="shared" si="38"/>
        <v>881400</v>
      </c>
    </row>
    <row r="161" spans="1:13" ht="27" customHeight="1" thickBot="1" x14ac:dyDescent="0.25">
      <c r="A161" s="857" t="s">
        <v>283</v>
      </c>
      <c r="B161" s="857"/>
      <c r="C161" s="857"/>
      <c r="D161" s="857"/>
      <c r="E161" s="857"/>
      <c r="F161" s="857"/>
      <c r="G161" s="857"/>
      <c r="H161" s="857"/>
      <c r="I161" s="762"/>
    </row>
    <row r="162" spans="1:13" ht="21" customHeight="1" thickBot="1" x14ac:dyDescent="0.25">
      <c r="A162" s="901" t="s">
        <v>45</v>
      </c>
      <c r="B162" s="896" t="s">
        <v>46</v>
      </c>
      <c r="C162" s="898">
        <v>2023</v>
      </c>
      <c r="D162" s="899"/>
      <c r="E162" s="899"/>
      <c r="F162" s="899"/>
      <c r="G162" s="899"/>
      <c r="H162" s="902"/>
      <c r="I162" s="762"/>
    </row>
    <row r="163" spans="1:13" ht="24.75" customHeight="1" thickBot="1" x14ac:dyDescent="0.25">
      <c r="A163" s="904"/>
      <c r="B163" s="905"/>
      <c r="C163" s="120" t="s">
        <v>47</v>
      </c>
      <c r="D163" s="120" t="s">
        <v>732</v>
      </c>
      <c r="E163" s="120" t="s">
        <v>746</v>
      </c>
      <c r="F163" s="120" t="s">
        <v>504</v>
      </c>
      <c r="G163" s="120" t="s">
        <v>380</v>
      </c>
      <c r="H163" s="384" t="s">
        <v>745</v>
      </c>
      <c r="I163" s="762"/>
    </row>
    <row r="164" spans="1:13" ht="18" customHeight="1" x14ac:dyDescent="0.2">
      <c r="A164" s="99" t="s">
        <v>167</v>
      </c>
      <c r="B164" s="77" t="s">
        <v>168</v>
      </c>
      <c r="C164" s="291">
        <v>600000</v>
      </c>
      <c r="D164" s="291">
        <v>600000</v>
      </c>
      <c r="E164" s="291">
        <v>0</v>
      </c>
      <c r="F164" s="91">
        <f>H164-D164</f>
        <v>0</v>
      </c>
      <c r="G164" s="295">
        <f>H164/D164*100</f>
        <v>100</v>
      </c>
      <c r="H164" s="297">
        <f>'Kiadások részletes COFOG'!F278</f>
        <v>600000</v>
      </c>
      <c r="I164" s="762">
        <f t="shared" si="37"/>
        <v>0</v>
      </c>
      <c r="J164" s="69">
        <f t="shared" si="38"/>
        <v>600000</v>
      </c>
    </row>
    <row r="165" spans="1:13" ht="18.75" customHeight="1" x14ac:dyDescent="0.2">
      <c r="A165" s="76" t="s">
        <v>186</v>
      </c>
      <c r="B165" s="77" t="s">
        <v>265</v>
      </c>
      <c r="C165" s="91">
        <v>5040000</v>
      </c>
      <c r="D165" s="91">
        <v>5040000</v>
      </c>
      <c r="E165" s="91">
        <v>4619718</v>
      </c>
      <c r="F165" s="91">
        <f t="shared" ref="F165:F167" si="42">H165-D165</f>
        <v>0</v>
      </c>
      <c r="G165" s="295">
        <f t="shared" ref="G165:G167" si="43">H165/D165*100</f>
        <v>100</v>
      </c>
      <c r="H165" s="92">
        <f>'Kiadások részletes COFOG'!F279</f>
        <v>5040000</v>
      </c>
      <c r="I165" s="762">
        <f t="shared" si="37"/>
        <v>91.661071428571432</v>
      </c>
      <c r="J165" s="69">
        <f t="shared" si="38"/>
        <v>420282</v>
      </c>
      <c r="M165" s="69"/>
    </row>
    <row r="166" spans="1:13" ht="18.75" customHeight="1" x14ac:dyDescent="0.2">
      <c r="A166" s="79" t="s">
        <v>196</v>
      </c>
      <c r="B166" s="80" t="s">
        <v>197</v>
      </c>
      <c r="C166" s="83">
        <v>2100000</v>
      </c>
      <c r="D166" s="83">
        <v>2100000</v>
      </c>
      <c r="E166" s="83">
        <v>1829488</v>
      </c>
      <c r="F166" s="91">
        <f t="shared" si="42"/>
        <v>0</v>
      </c>
      <c r="G166" s="295">
        <f t="shared" si="43"/>
        <v>100</v>
      </c>
      <c r="H166" s="84">
        <f>'Kiadások részletes COFOG'!F280</f>
        <v>2100000</v>
      </c>
      <c r="I166" s="762">
        <f t="shared" si="37"/>
        <v>87.118476190476187</v>
      </c>
      <c r="J166" s="69">
        <f t="shared" si="38"/>
        <v>270512</v>
      </c>
      <c r="M166" s="69"/>
    </row>
    <row r="167" spans="1:13" ht="24" customHeight="1" thickBot="1" x14ac:dyDescent="0.25">
      <c r="A167" s="88" t="s">
        <v>210</v>
      </c>
      <c r="B167" s="80" t="s">
        <v>268</v>
      </c>
      <c r="C167" s="83">
        <v>2100000</v>
      </c>
      <c r="D167" s="83">
        <v>2100000</v>
      </c>
      <c r="E167" s="83">
        <v>1704944</v>
      </c>
      <c r="F167" s="91">
        <f t="shared" si="42"/>
        <v>0</v>
      </c>
      <c r="G167" s="295">
        <f t="shared" si="43"/>
        <v>100</v>
      </c>
      <c r="H167" s="84">
        <f>'Kiadások részletes COFOG'!F281</f>
        <v>2100000</v>
      </c>
      <c r="I167" s="762">
        <f t="shared" si="37"/>
        <v>81.187809523809534</v>
      </c>
      <c r="J167" s="69">
        <f t="shared" si="38"/>
        <v>395056</v>
      </c>
      <c r="K167" s="139"/>
      <c r="L167" s="139"/>
      <c r="M167" s="139"/>
    </row>
    <row r="168" spans="1:13" ht="21" customHeight="1" thickBot="1" x14ac:dyDescent="0.25">
      <c r="A168" s="897" t="s">
        <v>276</v>
      </c>
      <c r="B168" s="897"/>
      <c r="C168" s="81">
        <f>SUM(C164:C167)</f>
        <v>9840000</v>
      </c>
      <c r="D168" s="81">
        <f t="shared" ref="D168:E168" si="44">SUM(D164:D167)</f>
        <v>9840000</v>
      </c>
      <c r="E168" s="81">
        <f t="shared" si="44"/>
        <v>8154150</v>
      </c>
      <c r="F168" s="81">
        <f>SUM(F164:F167)</f>
        <v>0</v>
      </c>
      <c r="G168" s="296">
        <f>H168/D168*100</f>
        <v>100</v>
      </c>
      <c r="H168" s="82">
        <f>SUM(H164:H167)</f>
        <v>9840000</v>
      </c>
      <c r="I168" s="762"/>
    </row>
    <row r="169" spans="1:13" ht="25.5" customHeight="1" thickBot="1" x14ac:dyDescent="0.25">
      <c r="A169" s="857" t="s">
        <v>284</v>
      </c>
      <c r="B169" s="857"/>
      <c r="C169" s="857"/>
      <c r="D169" s="857"/>
      <c r="E169" s="857"/>
      <c r="F169" s="857"/>
      <c r="G169" s="857"/>
      <c r="H169" s="857"/>
      <c r="I169" s="762"/>
    </row>
    <row r="170" spans="1:13" ht="21.75" customHeight="1" thickBot="1" x14ac:dyDescent="0.25">
      <c r="A170" s="901" t="s">
        <v>45</v>
      </c>
      <c r="B170" s="896" t="s">
        <v>46</v>
      </c>
      <c r="C170" s="898">
        <v>2023</v>
      </c>
      <c r="D170" s="899"/>
      <c r="E170" s="899"/>
      <c r="F170" s="899"/>
      <c r="G170" s="899"/>
      <c r="H170" s="902"/>
      <c r="I170" s="762"/>
    </row>
    <row r="171" spans="1:13" ht="27.75" customHeight="1" thickBot="1" x14ac:dyDescent="0.25">
      <c r="A171" s="904"/>
      <c r="B171" s="905"/>
      <c r="C171" s="120" t="s">
        <v>47</v>
      </c>
      <c r="D171" s="120" t="s">
        <v>732</v>
      </c>
      <c r="E171" s="120" t="s">
        <v>746</v>
      </c>
      <c r="F171" s="120" t="s">
        <v>504</v>
      </c>
      <c r="G171" s="120" t="s">
        <v>380</v>
      </c>
      <c r="H171" s="384" t="s">
        <v>745</v>
      </c>
      <c r="I171" s="762"/>
      <c r="L171" s="139"/>
    </row>
    <row r="172" spans="1:13" ht="15" customHeight="1" x14ac:dyDescent="0.2">
      <c r="A172" s="121" t="s">
        <v>141</v>
      </c>
      <c r="B172" s="122" t="s">
        <v>142</v>
      </c>
      <c r="C172" s="123">
        <v>3650000</v>
      </c>
      <c r="D172" s="123">
        <v>3600000</v>
      </c>
      <c r="E172" s="123">
        <v>2661200</v>
      </c>
      <c r="F172" s="123">
        <f>H172-D172</f>
        <v>0</v>
      </c>
      <c r="G172" s="272">
        <f>H172/D172*100</f>
        <v>100</v>
      </c>
      <c r="H172" s="124">
        <f>'Kiadások részletes COFOG'!F289</f>
        <v>3600000</v>
      </c>
      <c r="I172" s="762">
        <f t="shared" si="37"/>
        <v>73.922222222222217</v>
      </c>
      <c r="J172" s="69">
        <f t="shared" si="38"/>
        <v>938800</v>
      </c>
    </row>
    <row r="173" spans="1:13" ht="15" customHeight="1" x14ac:dyDescent="0.2">
      <c r="A173" s="99" t="s">
        <v>682</v>
      </c>
      <c r="B173" s="77" t="s">
        <v>683</v>
      </c>
      <c r="C173" s="91">
        <v>150000</v>
      </c>
      <c r="D173" s="91">
        <v>150000</v>
      </c>
      <c r="E173" s="91">
        <v>0</v>
      </c>
      <c r="F173" s="91">
        <f t="shared" ref="F173:F196" si="45">H173-D173</f>
        <v>-150000</v>
      </c>
      <c r="G173" s="162">
        <f t="shared" ref="G173:G195" si="46">H173/D173*100</f>
        <v>0</v>
      </c>
      <c r="H173" s="92">
        <f>'Kiadások részletes COFOG'!F290</f>
        <v>0</v>
      </c>
      <c r="I173" s="762"/>
      <c r="J173" s="69">
        <f t="shared" si="38"/>
        <v>0</v>
      </c>
    </row>
    <row r="174" spans="1:13" ht="15" customHeight="1" x14ac:dyDescent="0.2">
      <c r="A174" s="99" t="s">
        <v>420</v>
      </c>
      <c r="B174" s="77" t="s">
        <v>597</v>
      </c>
      <c r="C174" s="91">
        <v>100000</v>
      </c>
      <c r="D174" s="91">
        <v>100000</v>
      </c>
      <c r="E174" s="91">
        <v>150000</v>
      </c>
      <c r="F174" s="91">
        <f t="shared" si="45"/>
        <v>50000</v>
      </c>
      <c r="G174" s="162">
        <f t="shared" si="46"/>
        <v>150</v>
      </c>
      <c r="H174" s="92">
        <f>('Kiadások részletes COFOG'!F291)</f>
        <v>150000</v>
      </c>
      <c r="I174" s="762">
        <f t="shared" si="37"/>
        <v>100</v>
      </c>
      <c r="J174" s="69">
        <f t="shared" si="38"/>
        <v>0</v>
      </c>
    </row>
    <row r="175" spans="1:13" ht="15" customHeight="1" x14ac:dyDescent="0.2">
      <c r="A175" s="99" t="s">
        <v>145</v>
      </c>
      <c r="B175" s="77" t="s">
        <v>146</v>
      </c>
      <c r="C175" s="91">
        <v>0</v>
      </c>
      <c r="D175" s="91">
        <v>0</v>
      </c>
      <c r="E175" s="91">
        <v>0</v>
      </c>
      <c r="F175" s="91">
        <f t="shared" si="45"/>
        <v>0</v>
      </c>
      <c r="G175" s="162"/>
      <c r="H175" s="92">
        <f>'Kiadások részletes COFOG'!F293</f>
        <v>0</v>
      </c>
      <c r="I175" s="762"/>
    </row>
    <row r="176" spans="1:13" ht="15" customHeight="1" x14ac:dyDescent="0.2">
      <c r="A176" s="99" t="s">
        <v>147</v>
      </c>
      <c r="B176" s="77" t="s">
        <v>148</v>
      </c>
      <c r="C176" s="91">
        <v>160000</v>
      </c>
      <c r="D176" s="91">
        <v>160000</v>
      </c>
      <c r="E176" s="91">
        <v>44000</v>
      </c>
      <c r="F176" s="91">
        <f t="shared" si="45"/>
        <v>0</v>
      </c>
      <c r="G176" s="162">
        <f t="shared" si="46"/>
        <v>100</v>
      </c>
      <c r="H176" s="92">
        <f>'Kiadások részletes COFOG'!F294</f>
        <v>160000</v>
      </c>
      <c r="I176" s="762">
        <f t="shared" si="37"/>
        <v>27.500000000000004</v>
      </c>
      <c r="J176" s="69">
        <f t="shared" si="38"/>
        <v>116000</v>
      </c>
    </row>
    <row r="177" spans="1:13" ht="21" x14ac:dyDescent="0.2">
      <c r="A177" s="99" t="s">
        <v>151</v>
      </c>
      <c r="B177" s="77" t="s">
        <v>152</v>
      </c>
      <c r="C177" s="91">
        <v>0</v>
      </c>
      <c r="D177" s="91">
        <v>2707500</v>
      </c>
      <c r="E177" s="91">
        <v>2240700</v>
      </c>
      <c r="F177" s="91">
        <f t="shared" si="45"/>
        <v>152500</v>
      </c>
      <c r="G177" s="162">
        <f t="shared" si="46"/>
        <v>105.63250230840258</v>
      </c>
      <c r="H177" s="92">
        <f>SUM('Kiadások részletes COFOG'!F298)</f>
        <v>2860000</v>
      </c>
      <c r="I177" s="762">
        <f t="shared" si="37"/>
        <v>78.34615384615384</v>
      </c>
      <c r="J177" s="69">
        <f t="shared" si="38"/>
        <v>619300</v>
      </c>
    </row>
    <row r="178" spans="1:13" x14ac:dyDescent="0.2">
      <c r="A178" s="99" t="s">
        <v>395</v>
      </c>
      <c r="B178" s="77" t="s">
        <v>394</v>
      </c>
      <c r="C178" s="91">
        <v>0</v>
      </c>
      <c r="D178" s="91">
        <v>0</v>
      </c>
      <c r="E178" s="91">
        <v>72218</v>
      </c>
      <c r="F178" s="91">
        <f t="shared" si="45"/>
        <v>72218</v>
      </c>
      <c r="G178" s="162"/>
      <c r="H178" s="92">
        <f>SUM('Kiadások részletes COFOG'!F304)</f>
        <v>72218</v>
      </c>
      <c r="I178" s="762"/>
    </row>
    <row r="179" spans="1:13" ht="15" customHeight="1" x14ac:dyDescent="0.2">
      <c r="A179" s="76" t="s">
        <v>155</v>
      </c>
      <c r="B179" s="77" t="s">
        <v>156</v>
      </c>
      <c r="C179" s="91">
        <v>900000</v>
      </c>
      <c r="D179" s="91">
        <v>900000</v>
      </c>
      <c r="E179" s="91">
        <v>469526</v>
      </c>
      <c r="F179" s="91">
        <f t="shared" si="45"/>
        <v>0</v>
      </c>
      <c r="G179" s="162">
        <f t="shared" si="46"/>
        <v>100</v>
      </c>
      <c r="H179" s="92">
        <f>'Kiadások részletes COFOG'!F305</f>
        <v>900000</v>
      </c>
      <c r="I179" s="762">
        <f t="shared" si="37"/>
        <v>52.169555555555561</v>
      </c>
      <c r="J179" s="69">
        <f t="shared" si="38"/>
        <v>430474</v>
      </c>
      <c r="M179" s="126"/>
    </row>
    <row r="180" spans="1:13" ht="15" customHeight="1" x14ac:dyDescent="0.2">
      <c r="A180" s="76" t="s">
        <v>161</v>
      </c>
      <c r="B180" s="77" t="s">
        <v>160</v>
      </c>
      <c r="C180" s="91">
        <v>0</v>
      </c>
      <c r="D180" s="91">
        <v>0</v>
      </c>
      <c r="E180" s="91">
        <v>0</v>
      </c>
      <c r="F180" s="91">
        <f t="shared" si="45"/>
        <v>0</v>
      </c>
      <c r="G180" s="162"/>
      <c r="H180" s="92">
        <f>'Kiadások részletes COFOG'!F308</f>
        <v>0</v>
      </c>
      <c r="I180" s="762"/>
    </row>
    <row r="181" spans="1:13" ht="15" customHeight="1" x14ac:dyDescent="0.2">
      <c r="A181" s="76" t="s">
        <v>167</v>
      </c>
      <c r="B181" s="77" t="s">
        <v>168</v>
      </c>
      <c r="C181" s="91">
        <v>2500000</v>
      </c>
      <c r="D181" s="91">
        <v>2500000</v>
      </c>
      <c r="E181" s="91">
        <v>1811495</v>
      </c>
      <c r="F181" s="91">
        <f t="shared" si="45"/>
        <v>0</v>
      </c>
      <c r="G181" s="162">
        <f t="shared" si="46"/>
        <v>100</v>
      </c>
      <c r="H181" s="92">
        <f>'Kiadások részletes COFOG'!F309</f>
        <v>2500000</v>
      </c>
      <c r="I181" s="762">
        <f t="shared" si="37"/>
        <v>72.459800000000001</v>
      </c>
      <c r="J181" s="69">
        <f t="shared" si="38"/>
        <v>688505</v>
      </c>
    </row>
    <row r="182" spans="1:13" ht="15" customHeight="1" x14ac:dyDescent="0.2">
      <c r="A182" s="99" t="s">
        <v>422</v>
      </c>
      <c r="B182" s="77" t="s">
        <v>318</v>
      </c>
      <c r="C182" s="91">
        <v>165600</v>
      </c>
      <c r="D182" s="91">
        <v>165600</v>
      </c>
      <c r="E182" s="91">
        <v>17160</v>
      </c>
      <c r="F182" s="91">
        <f t="shared" si="45"/>
        <v>0</v>
      </c>
      <c r="G182" s="162">
        <f t="shared" si="46"/>
        <v>100</v>
      </c>
      <c r="H182" s="92">
        <f>SUM('Kiadások részletes COFOG'!F315)</f>
        <v>165600</v>
      </c>
      <c r="I182" s="762">
        <f t="shared" si="37"/>
        <v>10.362318840579709</v>
      </c>
      <c r="J182" s="69">
        <f t="shared" si="38"/>
        <v>148440</v>
      </c>
    </row>
    <row r="183" spans="1:13" ht="15" customHeight="1" x14ac:dyDescent="0.2">
      <c r="A183" s="99" t="s">
        <v>184</v>
      </c>
      <c r="B183" s="77" t="s">
        <v>285</v>
      </c>
      <c r="C183" s="91">
        <v>1030000</v>
      </c>
      <c r="D183" s="91">
        <v>1030000</v>
      </c>
      <c r="E183" s="91">
        <v>121384</v>
      </c>
      <c r="F183" s="91">
        <f t="shared" si="45"/>
        <v>0</v>
      </c>
      <c r="G183" s="162">
        <f t="shared" si="46"/>
        <v>100</v>
      </c>
      <c r="H183" s="92">
        <f>SUM('Kiadások részletes COFOG'!F317)</f>
        <v>1030000</v>
      </c>
      <c r="I183" s="762">
        <f t="shared" si="37"/>
        <v>11.78485436893204</v>
      </c>
      <c r="J183" s="69">
        <f t="shared" si="38"/>
        <v>908616</v>
      </c>
    </row>
    <row r="184" spans="1:13" ht="15" customHeight="1" x14ac:dyDescent="0.2">
      <c r="A184" s="76" t="s">
        <v>194</v>
      </c>
      <c r="B184" s="77" t="s">
        <v>195</v>
      </c>
      <c r="C184" s="91">
        <v>0</v>
      </c>
      <c r="D184" s="91">
        <v>0</v>
      </c>
      <c r="E184" s="91">
        <v>0</v>
      </c>
      <c r="F184" s="91">
        <f t="shared" si="45"/>
        <v>0</v>
      </c>
      <c r="G184" s="162"/>
      <c r="H184" s="92">
        <f>'Kiadások részletes COFOG'!F321</f>
        <v>0</v>
      </c>
      <c r="I184" s="762"/>
      <c r="J184" s="69">
        <f t="shared" si="38"/>
        <v>0</v>
      </c>
    </row>
    <row r="185" spans="1:13" ht="15" customHeight="1" x14ac:dyDescent="0.2">
      <c r="A185" s="76" t="s">
        <v>196</v>
      </c>
      <c r="B185" s="77" t="s">
        <v>197</v>
      </c>
      <c r="C185" s="91">
        <v>650000</v>
      </c>
      <c r="D185" s="91">
        <v>650000</v>
      </c>
      <c r="E185" s="91">
        <v>773654</v>
      </c>
      <c r="F185" s="91">
        <f t="shared" si="45"/>
        <v>100000</v>
      </c>
      <c r="G185" s="162">
        <f t="shared" si="46"/>
        <v>115.38461538461537</v>
      </c>
      <c r="H185" s="92">
        <f>SUM('Kiadások részletes COFOG'!F322)</f>
        <v>750000</v>
      </c>
      <c r="I185" s="762">
        <f t="shared" si="37"/>
        <v>103.15386666666666</v>
      </c>
      <c r="J185" s="69">
        <f t="shared" si="38"/>
        <v>-23654</v>
      </c>
    </row>
    <row r="186" spans="1:13" ht="15" customHeight="1" x14ac:dyDescent="0.2">
      <c r="A186" s="76" t="s">
        <v>200</v>
      </c>
      <c r="B186" s="77" t="s">
        <v>201</v>
      </c>
      <c r="C186" s="91">
        <v>15000</v>
      </c>
      <c r="D186" s="91">
        <v>15000</v>
      </c>
      <c r="E186" s="91">
        <v>113000</v>
      </c>
      <c r="F186" s="91">
        <f t="shared" si="45"/>
        <v>145000</v>
      </c>
      <c r="G186" s="162">
        <f t="shared" si="46"/>
        <v>1066.6666666666665</v>
      </c>
      <c r="H186" s="92">
        <f>SUM('Kiadások részletes COFOG'!F325)</f>
        <v>160000</v>
      </c>
      <c r="I186" s="762">
        <f t="shared" si="37"/>
        <v>70.625</v>
      </c>
      <c r="J186" s="69">
        <f t="shared" si="38"/>
        <v>47000</v>
      </c>
    </row>
    <row r="187" spans="1:13" ht="15" customHeight="1" x14ac:dyDescent="0.2">
      <c r="A187" s="76" t="s">
        <v>202</v>
      </c>
      <c r="B187" s="77" t="s">
        <v>203</v>
      </c>
      <c r="C187" s="91">
        <v>2200000</v>
      </c>
      <c r="D187" s="91">
        <v>1700000</v>
      </c>
      <c r="E187" s="91">
        <v>638985</v>
      </c>
      <c r="F187" s="91">
        <f t="shared" si="45"/>
        <v>0</v>
      </c>
      <c r="G187" s="162">
        <f t="shared" si="46"/>
        <v>100</v>
      </c>
      <c r="H187" s="92">
        <f>SUM('Kiadások részletes COFOG'!F326)</f>
        <v>1700000</v>
      </c>
      <c r="I187" s="762">
        <f t="shared" si="37"/>
        <v>37.587352941176469</v>
      </c>
      <c r="J187" s="69">
        <f t="shared" si="38"/>
        <v>1061015</v>
      </c>
    </row>
    <row r="188" spans="1:13" ht="15" customHeight="1" x14ac:dyDescent="0.2">
      <c r="A188" s="76" t="s">
        <v>208</v>
      </c>
      <c r="B188" s="77" t="s">
        <v>209</v>
      </c>
      <c r="C188" s="91"/>
      <c r="D188" s="91"/>
      <c r="E188" s="91"/>
      <c r="F188" s="91">
        <f t="shared" si="45"/>
        <v>0</v>
      </c>
      <c r="G188" s="162"/>
      <c r="H188" s="92"/>
      <c r="I188" s="762"/>
    </row>
    <row r="189" spans="1:13" ht="21" x14ac:dyDescent="0.2">
      <c r="A189" s="76" t="s">
        <v>210</v>
      </c>
      <c r="B189" s="77" t="s">
        <v>268</v>
      </c>
      <c r="C189" s="91">
        <v>1500000</v>
      </c>
      <c r="D189" s="91">
        <v>1300000</v>
      </c>
      <c r="E189" s="91">
        <v>796173</v>
      </c>
      <c r="F189" s="91">
        <f t="shared" si="45"/>
        <v>0</v>
      </c>
      <c r="G189" s="162">
        <f t="shared" si="46"/>
        <v>100</v>
      </c>
      <c r="H189" s="92">
        <f>'Kiadások részletes COFOG'!F332</f>
        <v>1300000</v>
      </c>
      <c r="I189" s="762">
        <f t="shared" si="37"/>
        <v>61.244076923076918</v>
      </c>
      <c r="J189" s="69">
        <f t="shared" si="38"/>
        <v>503827</v>
      </c>
      <c r="K189" s="126"/>
    </row>
    <row r="190" spans="1:13" ht="18" customHeight="1" x14ac:dyDescent="0.2">
      <c r="A190" s="99" t="s">
        <v>214</v>
      </c>
      <c r="B190" s="77" t="s">
        <v>215</v>
      </c>
      <c r="C190" s="91">
        <v>0</v>
      </c>
      <c r="D190" s="91">
        <v>0</v>
      </c>
      <c r="E190" s="91"/>
      <c r="F190" s="91">
        <f t="shared" si="45"/>
        <v>0</v>
      </c>
      <c r="G190" s="162"/>
      <c r="H190" s="92">
        <f>'Kiadások részletes COFOG'!F333</f>
        <v>0</v>
      </c>
      <c r="I190" s="762"/>
      <c r="K190" s="126"/>
    </row>
    <row r="191" spans="1:13" ht="18" customHeight="1" x14ac:dyDescent="0.2">
      <c r="A191" s="99" t="s">
        <v>216</v>
      </c>
      <c r="B191" s="77" t="s">
        <v>217</v>
      </c>
      <c r="C191" s="91">
        <v>0</v>
      </c>
      <c r="D191" s="91">
        <v>500000</v>
      </c>
      <c r="E191" s="91">
        <v>549357</v>
      </c>
      <c r="F191" s="91">
        <f t="shared" si="45"/>
        <v>150000</v>
      </c>
      <c r="G191" s="162">
        <f t="shared" si="46"/>
        <v>130</v>
      </c>
      <c r="H191" s="92">
        <f>SUM('Kiadások részletes COFOG'!F334)</f>
        <v>650000</v>
      </c>
      <c r="I191" s="762">
        <f t="shared" si="37"/>
        <v>84.516461538461542</v>
      </c>
      <c r="J191" s="69">
        <f t="shared" si="38"/>
        <v>100643</v>
      </c>
      <c r="K191" s="126"/>
    </row>
    <row r="192" spans="1:13" ht="19.5" customHeight="1" x14ac:dyDescent="0.2">
      <c r="A192" s="76" t="s">
        <v>244</v>
      </c>
      <c r="B192" s="77" t="s">
        <v>245</v>
      </c>
      <c r="C192" s="91">
        <v>200000</v>
      </c>
      <c r="D192" s="91">
        <v>6217090</v>
      </c>
      <c r="E192" s="91">
        <v>2286560</v>
      </c>
      <c r="F192" s="91">
        <f t="shared" si="45"/>
        <v>0</v>
      </c>
      <c r="G192" s="162">
        <f t="shared" si="46"/>
        <v>100</v>
      </c>
      <c r="H192" s="92">
        <f>'Kiadások részletes COFOG'!F339</f>
        <v>6217090</v>
      </c>
      <c r="I192" s="762">
        <f t="shared" si="37"/>
        <v>36.778621509419999</v>
      </c>
      <c r="J192" s="69">
        <f t="shared" si="38"/>
        <v>3930530</v>
      </c>
    </row>
    <row r="193" spans="1:13" ht="22.5" customHeight="1" x14ac:dyDescent="0.2">
      <c r="A193" s="88" t="s">
        <v>246</v>
      </c>
      <c r="B193" s="80" t="s">
        <v>273</v>
      </c>
      <c r="C193" s="83">
        <v>54000</v>
      </c>
      <c r="D193" s="83">
        <v>1672790</v>
      </c>
      <c r="E193" s="83">
        <v>617371</v>
      </c>
      <c r="F193" s="91">
        <f t="shared" si="45"/>
        <v>0</v>
      </c>
      <c r="G193" s="162">
        <f t="shared" si="46"/>
        <v>100</v>
      </c>
      <c r="H193" s="84">
        <f>'Kiadások részletes COFOG'!F340</f>
        <v>1672790</v>
      </c>
      <c r="I193" s="762">
        <f t="shared" si="37"/>
        <v>36.906664913109239</v>
      </c>
      <c r="J193" s="69">
        <f t="shared" si="38"/>
        <v>1055419</v>
      </c>
    </row>
    <row r="194" spans="1:13" ht="21.75" customHeight="1" x14ac:dyDescent="0.2">
      <c r="A194" s="79" t="s">
        <v>248</v>
      </c>
      <c r="B194" s="127" t="s">
        <v>413</v>
      </c>
      <c r="C194" s="83">
        <v>0</v>
      </c>
      <c r="D194" s="83">
        <v>135011005</v>
      </c>
      <c r="E194" s="83">
        <v>42382734</v>
      </c>
      <c r="F194" s="91">
        <f t="shared" si="45"/>
        <v>4330022</v>
      </c>
      <c r="G194" s="162">
        <f t="shared" si="46"/>
        <v>103.20716226058757</v>
      </c>
      <c r="H194" s="84">
        <f>'Kiadások részletes COFOG'!F344</f>
        <v>139341027</v>
      </c>
      <c r="I194" s="762">
        <f t="shared" si="37"/>
        <v>30.416550611472097</v>
      </c>
      <c r="J194" s="69">
        <f t="shared" si="38"/>
        <v>96958293</v>
      </c>
    </row>
    <row r="195" spans="1:13" ht="21.75" customHeight="1" x14ac:dyDescent="0.2">
      <c r="A195" s="79" t="s">
        <v>252</v>
      </c>
      <c r="B195" s="127" t="s">
        <v>274</v>
      </c>
      <c r="C195" s="83">
        <v>0</v>
      </c>
      <c r="D195" s="83">
        <v>35993543</v>
      </c>
      <c r="E195" s="83">
        <v>0</v>
      </c>
      <c r="F195" s="91">
        <f t="shared" si="45"/>
        <v>-8650000</v>
      </c>
      <c r="G195" s="162">
        <f t="shared" si="46"/>
        <v>75.967911800180389</v>
      </c>
      <c r="H195" s="84">
        <f>'Kiadások részletes COFOG'!F347</f>
        <v>27343543</v>
      </c>
      <c r="I195" s="762">
        <f t="shared" si="37"/>
        <v>0</v>
      </c>
      <c r="J195" s="69">
        <f t="shared" si="38"/>
        <v>27343543</v>
      </c>
    </row>
    <row r="196" spans="1:13" ht="30" customHeight="1" thickBot="1" x14ac:dyDescent="0.25">
      <c r="A196" s="89" t="s">
        <v>416</v>
      </c>
      <c r="B196" s="294" t="s">
        <v>417</v>
      </c>
      <c r="C196" s="285">
        <v>0</v>
      </c>
      <c r="D196" s="83">
        <v>0</v>
      </c>
      <c r="E196" s="83"/>
      <c r="F196" s="91">
        <f t="shared" si="45"/>
        <v>0</v>
      </c>
      <c r="G196" s="162"/>
      <c r="H196" s="142">
        <f>'Kiadások részletes COFOG'!F350</f>
        <v>0</v>
      </c>
      <c r="I196" s="762"/>
    </row>
    <row r="197" spans="1:13" ht="23.25" customHeight="1" thickBot="1" x14ac:dyDescent="0.25">
      <c r="A197" s="897" t="s">
        <v>276</v>
      </c>
      <c r="B197" s="897"/>
      <c r="C197" s="81">
        <f>SUM(C172:C196)</f>
        <v>13274600</v>
      </c>
      <c r="D197" s="81">
        <f t="shared" ref="D197:E197" si="47">SUM(D172:D196)</f>
        <v>194372528</v>
      </c>
      <c r="E197" s="81">
        <f t="shared" si="47"/>
        <v>55745517</v>
      </c>
      <c r="F197" s="81">
        <f>SUM(F172:F196)</f>
        <v>-3800260</v>
      </c>
      <c r="G197" s="273">
        <f>H197/D197*100</f>
        <v>98.044857450225692</v>
      </c>
      <c r="H197" s="82">
        <f>SUM(H172:H196)</f>
        <v>190572268</v>
      </c>
      <c r="I197" s="762"/>
    </row>
    <row r="198" spans="1:13" ht="24" customHeight="1" thickBot="1" x14ac:dyDescent="0.25">
      <c r="A198" s="857" t="s">
        <v>132</v>
      </c>
      <c r="B198" s="857"/>
      <c r="C198" s="857"/>
      <c r="D198" s="857"/>
      <c r="E198" s="857"/>
      <c r="F198" s="857"/>
      <c r="G198" s="857"/>
      <c r="H198" s="857"/>
      <c r="I198" s="762"/>
    </row>
    <row r="199" spans="1:13" ht="23.25" customHeight="1" thickBot="1" x14ac:dyDescent="0.25">
      <c r="A199" s="901" t="s">
        <v>45</v>
      </c>
      <c r="B199" s="896" t="s">
        <v>46</v>
      </c>
      <c r="C199" s="898">
        <v>2023</v>
      </c>
      <c r="D199" s="899"/>
      <c r="E199" s="899"/>
      <c r="F199" s="899"/>
      <c r="G199" s="899"/>
      <c r="H199" s="902"/>
      <c r="I199" s="762"/>
    </row>
    <row r="200" spans="1:13" ht="25.5" customHeight="1" thickBot="1" x14ac:dyDescent="0.25">
      <c r="A200" s="904"/>
      <c r="B200" s="905"/>
      <c r="C200" s="120" t="s">
        <v>47</v>
      </c>
      <c r="D200" s="120" t="s">
        <v>732</v>
      </c>
      <c r="E200" s="120" t="s">
        <v>746</v>
      </c>
      <c r="F200" s="120" t="s">
        <v>504</v>
      </c>
      <c r="G200" s="120" t="s">
        <v>380</v>
      </c>
      <c r="H200" s="384" t="s">
        <v>745</v>
      </c>
      <c r="I200" s="762"/>
    </row>
    <row r="201" spans="1:13" ht="15.95" customHeight="1" x14ac:dyDescent="0.2">
      <c r="A201" s="121" t="s">
        <v>139</v>
      </c>
      <c r="B201" s="122" t="s">
        <v>140</v>
      </c>
      <c r="C201" s="303">
        <v>4410000</v>
      </c>
      <c r="D201" s="303">
        <v>4410000</v>
      </c>
      <c r="E201" s="303">
        <v>4398416</v>
      </c>
      <c r="F201" s="303">
        <f>H201-D201</f>
        <v>0</v>
      </c>
      <c r="G201" s="162">
        <f>H201/D201*100</f>
        <v>100</v>
      </c>
      <c r="H201" s="304">
        <f>'Kiadások részletes COFOG'!F357</f>
        <v>4410000</v>
      </c>
      <c r="I201" s="762">
        <f t="shared" si="37"/>
        <v>99.737324263038545</v>
      </c>
      <c r="J201" s="69">
        <f t="shared" si="38"/>
        <v>11584</v>
      </c>
    </row>
    <row r="202" spans="1:13" ht="15.95" customHeight="1" x14ac:dyDescent="0.2">
      <c r="A202" s="282" t="s">
        <v>682</v>
      </c>
      <c r="B202" s="122" t="s">
        <v>687</v>
      </c>
      <c r="C202" s="303">
        <v>250000</v>
      </c>
      <c r="D202" s="303">
        <v>250000</v>
      </c>
      <c r="E202" s="303">
        <v>0</v>
      </c>
      <c r="F202" s="303">
        <f t="shared" ref="F202:F224" si="48">H202-D202</f>
        <v>-250000</v>
      </c>
      <c r="G202" s="162">
        <f t="shared" ref="G202:G219" si="49">H202/D202*100</f>
        <v>0</v>
      </c>
      <c r="H202" s="304">
        <f>SUM('Kiadások részletes COFOG'!F358)</f>
        <v>0</v>
      </c>
      <c r="I202" s="762"/>
      <c r="J202" s="69">
        <f t="shared" si="38"/>
        <v>0</v>
      </c>
    </row>
    <row r="203" spans="1:13" ht="15.95" customHeight="1" x14ac:dyDescent="0.2">
      <c r="A203" s="99" t="s">
        <v>418</v>
      </c>
      <c r="B203" s="77" t="s">
        <v>419</v>
      </c>
      <c r="C203" s="97">
        <v>100000</v>
      </c>
      <c r="D203" s="303">
        <v>100000</v>
      </c>
      <c r="E203" s="303">
        <v>0</v>
      </c>
      <c r="F203" s="303">
        <f t="shared" si="48"/>
        <v>0</v>
      </c>
      <c r="G203" s="162">
        <f t="shared" si="49"/>
        <v>100</v>
      </c>
      <c r="H203" s="98">
        <f>'Kiadások részletes COFOG'!F361</f>
        <v>100000</v>
      </c>
      <c r="I203" s="762">
        <f t="shared" si="37"/>
        <v>0</v>
      </c>
      <c r="J203" s="69">
        <f t="shared" si="38"/>
        <v>100000</v>
      </c>
    </row>
    <row r="204" spans="1:13" ht="15.95" customHeight="1" x14ac:dyDescent="0.2">
      <c r="A204" s="99" t="s">
        <v>530</v>
      </c>
      <c r="B204" s="77" t="s">
        <v>531</v>
      </c>
      <c r="C204" s="97">
        <v>0</v>
      </c>
      <c r="D204" s="303">
        <v>0</v>
      </c>
      <c r="E204" s="303">
        <v>0</v>
      </c>
      <c r="F204" s="303">
        <f t="shared" si="48"/>
        <v>0</v>
      </c>
      <c r="G204" s="162">
        <v>0</v>
      </c>
      <c r="H204" s="98">
        <f>'Kiadások részletes COFOG'!F362</f>
        <v>0</v>
      </c>
      <c r="I204" s="762"/>
    </row>
    <row r="205" spans="1:13" ht="15.95" customHeight="1" x14ac:dyDescent="0.2">
      <c r="A205" s="99" t="s">
        <v>420</v>
      </c>
      <c r="B205" s="77" t="s">
        <v>421</v>
      </c>
      <c r="C205" s="97">
        <v>100000</v>
      </c>
      <c r="D205" s="303">
        <v>100000</v>
      </c>
      <c r="E205" s="303">
        <v>200000</v>
      </c>
      <c r="F205" s="303">
        <f t="shared" si="48"/>
        <v>100000</v>
      </c>
      <c r="G205" s="162">
        <f t="shared" si="49"/>
        <v>200</v>
      </c>
      <c r="H205" s="98">
        <f>'Kiadások részletes COFOG'!F363</f>
        <v>200000</v>
      </c>
      <c r="I205" s="762">
        <f t="shared" ref="I205:I268" si="50">SUM(E205/H205*100)</f>
        <v>100</v>
      </c>
      <c r="J205" s="69">
        <f t="shared" ref="J205:J271" si="51">SUM(H205-E205)</f>
        <v>0</v>
      </c>
    </row>
    <row r="206" spans="1:13" ht="15.95" customHeight="1" x14ac:dyDescent="0.2">
      <c r="A206" s="76" t="s">
        <v>143</v>
      </c>
      <c r="B206" s="77" t="s">
        <v>144</v>
      </c>
      <c r="C206" s="91">
        <v>0</v>
      </c>
      <c r="D206" s="123">
        <v>0</v>
      </c>
      <c r="E206" s="123">
        <v>0</v>
      </c>
      <c r="F206" s="303">
        <f t="shared" si="48"/>
        <v>0</v>
      </c>
      <c r="G206" s="162">
        <v>0</v>
      </c>
      <c r="H206" s="92">
        <f>'Kiadások részletes COFOG'!F364</f>
        <v>0</v>
      </c>
      <c r="I206" s="762"/>
      <c r="J206" s="69">
        <f t="shared" si="51"/>
        <v>0</v>
      </c>
    </row>
    <row r="207" spans="1:13" ht="15.95" customHeight="1" x14ac:dyDescent="0.2">
      <c r="A207" s="76" t="s">
        <v>145</v>
      </c>
      <c r="B207" s="77" t="s">
        <v>146</v>
      </c>
      <c r="C207" s="91">
        <v>0</v>
      </c>
      <c r="D207" s="123">
        <v>0</v>
      </c>
      <c r="E207" s="123">
        <v>0</v>
      </c>
      <c r="F207" s="303">
        <f t="shared" si="48"/>
        <v>0</v>
      </c>
      <c r="G207" s="162">
        <v>0</v>
      </c>
      <c r="H207" s="92">
        <f>'Kiadások részletes COFOG'!F365</f>
        <v>0</v>
      </c>
      <c r="I207" s="762"/>
      <c r="J207" s="69">
        <f t="shared" si="51"/>
        <v>0</v>
      </c>
      <c r="M207" s="126"/>
    </row>
    <row r="208" spans="1:13" s="141" customFormat="1" ht="18" customHeight="1" x14ac:dyDescent="0.2">
      <c r="A208" s="99" t="s">
        <v>288</v>
      </c>
      <c r="B208" s="140" t="s">
        <v>148</v>
      </c>
      <c r="C208" s="305">
        <v>100000</v>
      </c>
      <c r="D208" s="652">
        <v>100000</v>
      </c>
      <c r="E208" s="652">
        <v>248746</v>
      </c>
      <c r="F208" s="303">
        <f t="shared" si="48"/>
        <v>150000</v>
      </c>
      <c r="G208" s="162">
        <f t="shared" si="49"/>
        <v>250</v>
      </c>
      <c r="H208" s="92">
        <f>'Kiadások részletes COFOG'!F366</f>
        <v>250000</v>
      </c>
      <c r="I208" s="762">
        <f t="shared" si="50"/>
        <v>99.498400000000004</v>
      </c>
      <c r="J208" s="69">
        <f t="shared" si="51"/>
        <v>1254</v>
      </c>
    </row>
    <row r="209" spans="1:13" ht="21" customHeight="1" x14ac:dyDescent="0.2">
      <c r="A209" s="76" t="s">
        <v>151</v>
      </c>
      <c r="B209" s="77" t="s">
        <v>152</v>
      </c>
      <c r="C209" s="91">
        <v>1180000</v>
      </c>
      <c r="D209" s="123">
        <v>1180000</v>
      </c>
      <c r="E209" s="123">
        <v>880000</v>
      </c>
      <c r="F209" s="303">
        <f t="shared" si="48"/>
        <v>0</v>
      </c>
      <c r="G209" s="162">
        <f t="shared" si="49"/>
        <v>100</v>
      </c>
      <c r="H209" s="92">
        <f>'Kiadások részletes COFOG'!F369</f>
        <v>1180000</v>
      </c>
      <c r="I209" s="762">
        <f t="shared" si="50"/>
        <v>74.576271186440678</v>
      </c>
      <c r="J209" s="69">
        <f t="shared" si="51"/>
        <v>300000</v>
      </c>
      <c r="M209" s="69"/>
    </row>
    <row r="210" spans="1:13" ht="15.95" customHeight="1" x14ac:dyDescent="0.2">
      <c r="A210" s="76" t="s">
        <v>155</v>
      </c>
      <c r="B210" s="77" t="s">
        <v>624</v>
      </c>
      <c r="C210" s="91">
        <v>815000</v>
      </c>
      <c r="D210" s="123">
        <v>815000</v>
      </c>
      <c r="E210" s="123">
        <v>659793</v>
      </c>
      <c r="F210" s="303">
        <f t="shared" si="48"/>
        <v>0</v>
      </c>
      <c r="G210" s="162">
        <f t="shared" si="49"/>
        <v>100</v>
      </c>
      <c r="H210" s="92">
        <f>'Kiadások részletes COFOG'!F376</f>
        <v>815000</v>
      </c>
      <c r="I210" s="762">
        <f t="shared" si="50"/>
        <v>80.956196319018403</v>
      </c>
      <c r="J210" s="69">
        <f t="shared" si="51"/>
        <v>155207</v>
      </c>
    </row>
    <row r="211" spans="1:13" ht="15.95" customHeight="1" x14ac:dyDescent="0.2">
      <c r="A211" s="76" t="s">
        <v>161</v>
      </c>
      <c r="B211" s="77" t="s">
        <v>160</v>
      </c>
      <c r="C211" s="91">
        <v>30000</v>
      </c>
      <c r="D211" s="123">
        <v>30000</v>
      </c>
      <c r="E211" s="123">
        <v>0</v>
      </c>
      <c r="F211" s="303">
        <f t="shared" si="48"/>
        <v>0</v>
      </c>
      <c r="G211" s="162">
        <f t="shared" si="49"/>
        <v>100</v>
      </c>
      <c r="H211" s="92">
        <f>'Kiadások részletes COFOG'!F377</f>
        <v>30000</v>
      </c>
      <c r="I211" s="762">
        <f t="shared" si="50"/>
        <v>0</v>
      </c>
      <c r="J211" s="69">
        <f t="shared" si="51"/>
        <v>30000</v>
      </c>
    </row>
    <row r="212" spans="1:13" ht="15.95" customHeight="1" x14ac:dyDescent="0.2">
      <c r="A212" s="76" t="s">
        <v>167</v>
      </c>
      <c r="B212" s="77" t="s">
        <v>168</v>
      </c>
      <c r="C212" s="91">
        <v>150000</v>
      </c>
      <c r="D212" s="123">
        <v>150000</v>
      </c>
      <c r="E212" s="123">
        <v>134153</v>
      </c>
      <c r="F212" s="303">
        <f t="shared" si="48"/>
        <v>0</v>
      </c>
      <c r="G212" s="162">
        <f t="shared" si="49"/>
        <v>100</v>
      </c>
      <c r="H212" s="92">
        <f>'Kiadások részletes COFOG'!F378</f>
        <v>150000</v>
      </c>
      <c r="I212" s="762">
        <f t="shared" si="50"/>
        <v>89.435333333333332</v>
      </c>
      <c r="J212" s="69">
        <f t="shared" si="51"/>
        <v>15847</v>
      </c>
    </row>
    <row r="213" spans="1:13" ht="15.95" customHeight="1" x14ac:dyDescent="0.2">
      <c r="A213" s="99" t="s">
        <v>422</v>
      </c>
      <c r="B213" s="77" t="s">
        <v>388</v>
      </c>
      <c r="C213" s="91">
        <v>42000</v>
      </c>
      <c r="D213" s="123">
        <v>42000</v>
      </c>
      <c r="E213" s="123">
        <v>57710</v>
      </c>
      <c r="F213" s="303">
        <f t="shared" si="48"/>
        <v>42000</v>
      </c>
      <c r="G213" s="162">
        <f t="shared" si="49"/>
        <v>200</v>
      </c>
      <c r="H213" s="92">
        <f>'Kiadások részletes COFOG'!F381</f>
        <v>84000</v>
      </c>
      <c r="I213" s="762">
        <f t="shared" si="50"/>
        <v>68.702380952380949</v>
      </c>
      <c r="J213" s="69">
        <f t="shared" si="51"/>
        <v>26290</v>
      </c>
    </row>
    <row r="214" spans="1:13" ht="15.95" customHeight="1" x14ac:dyDescent="0.2">
      <c r="A214" s="76" t="s">
        <v>182</v>
      </c>
      <c r="B214" s="77" t="s">
        <v>423</v>
      </c>
      <c r="C214" s="91">
        <v>90000</v>
      </c>
      <c r="D214" s="123">
        <v>90000</v>
      </c>
      <c r="E214" s="123">
        <v>98800</v>
      </c>
      <c r="F214" s="303">
        <f t="shared" si="48"/>
        <v>90000</v>
      </c>
      <c r="G214" s="162">
        <f t="shared" si="49"/>
        <v>200</v>
      </c>
      <c r="H214" s="92">
        <f>'Kiadások részletes COFOG'!F383</f>
        <v>180000</v>
      </c>
      <c r="I214" s="762">
        <f t="shared" si="50"/>
        <v>54.888888888888886</v>
      </c>
      <c r="J214" s="69">
        <f t="shared" si="51"/>
        <v>81200</v>
      </c>
    </row>
    <row r="215" spans="1:13" ht="15.95" customHeight="1" x14ac:dyDescent="0.2">
      <c r="A215" s="76" t="s">
        <v>196</v>
      </c>
      <c r="B215" s="77" t="s">
        <v>197</v>
      </c>
      <c r="C215" s="91">
        <v>50000</v>
      </c>
      <c r="D215" s="123">
        <v>50000</v>
      </c>
      <c r="E215" s="123">
        <v>0</v>
      </c>
      <c r="F215" s="303">
        <f t="shared" si="48"/>
        <v>0</v>
      </c>
      <c r="G215" s="162">
        <f t="shared" si="49"/>
        <v>100</v>
      </c>
      <c r="H215" s="92">
        <f>'Kiadások részletes COFOG'!F385</f>
        <v>50000</v>
      </c>
      <c r="I215" s="762">
        <f t="shared" si="50"/>
        <v>0</v>
      </c>
      <c r="J215" s="69">
        <f t="shared" si="51"/>
        <v>50000</v>
      </c>
    </row>
    <row r="216" spans="1:13" ht="19.5" customHeight="1" x14ac:dyDescent="0.2">
      <c r="A216" s="76" t="s">
        <v>198</v>
      </c>
      <c r="B216" s="77" t="s">
        <v>199</v>
      </c>
      <c r="C216" s="91">
        <v>110000</v>
      </c>
      <c r="D216" s="123">
        <v>110000</v>
      </c>
      <c r="E216" s="123">
        <v>26300</v>
      </c>
      <c r="F216" s="303">
        <f t="shared" si="48"/>
        <v>0</v>
      </c>
      <c r="G216" s="162">
        <f t="shared" si="49"/>
        <v>100</v>
      </c>
      <c r="H216" s="92">
        <f>SUM('Kiadások részletes COFOG'!F386)</f>
        <v>110000</v>
      </c>
      <c r="I216" s="762">
        <f t="shared" si="50"/>
        <v>23.90909090909091</v>
      </c>
      <c r="J216" s="69">
        <f t="shared" si="51"/>
        <v>83700</v>
      </c>
    </row>
    <row r="217" spans="1:13" ht="15.95" customHeight="1" x14ac:dyDescent="0.2">
      <c r="A217" s="99" t="s">
        <v>202</v>
      </c>
      <c r="B217" s="77" t="s">
        <v>203</v>
      </c>
      <c r="C217" s="91">
        <v>20000</v>
      </c>
      <c r="D217" s="123">
        <v>20000</v>
      </c>
      <c r="E217" s="123">
        <v>3170</v>
      </c>
      <c r="F217" s="303">
        <f t="shared" si="48"/>
        <v>0</v>
      </c>
      <c r="G217" s="162">
        <f t="shared" si="49"/>
        <v>100</v>
      </c>
      <c r="H217" s="92">
        <f>SUM('Kiadások részletes COFOG'!F389)</f>
        <v>20000</v>
      </c>
      <c r="I217" s="762">
        <f t="shared" si="50"/>
        <v>15.85</v>
      </c>
      <c r="J217" s="69">
        <f t="shared" si="51"/>
        <v>16830</v>
      </c>
    </row>
    <row r="218" spans="1:13" ht="15.95" customHeight="1" x14ac:dyDescent="0.2">
      <c r="A218" s="99" t="s">
        <v>289</v>
      </c>
      <c r="B218" s="77" t="s">
        <v>290</v>
      </c>
      <c r="C218" s="91">
        <v>50000</v>
      </c>
      <c r="D218" s="123">
        <v>50000</v>
      </c>
      <c r="E218" s="123">
        <v>0</v>
      </c>
      <c r="F218" s="303">
        <f t="shared" si="48"/>
        <v>0</v>
      </c>
      <c r="G218" s="162">
        <f t="shared" si="49"/>
        <v>100</v>
      </c>
      <c r="H218" s="92">
        <f>'Kiadások részletes COFOG'!F390</f>
        <v>50000</v>
      </c>
      <c r="I218" s="762">
        <f t="shared" si="50"/>
        <v>0</v>
      </c>
      <c r="J218" s="69">
        <f t="shared" si="51"/>
        <v>50000</v>
      </c>
    </row>
    <row r="219" spans="1:13" ht="21.75" customHeight="1" x14ac:dyDescent="0.2">
      <c r="A219" s="76" t="s">
        <v>210</v>
      </c>
      <c r="B219" s="77" t="s">
        <v>268</v>
      </c>
      <c r="C219" s="91">
        <v>87300</v>
      </c>
      <c r="D219" s="123">
        <v>87300</v>
      </c>
      <c r="E219" s="123">
        <v>40625</v>
      </c>
      <c r="F219" s="303">
        <f t="shared" si="48"/>
        <v>22700</v>
      </c>
      <c r="G219" s="162">
        <f t="shared" si="49"/>
        <v>126.00229095074455</v>
      </c>
      <c r="H219" s="92">
        <f>'Kiadások részletes COFOG'!F391</f>
        <v>110000</v>
      </c>
      <c r="I219" s="762">
        <f t="shared" si="50"/>
        <v>36.93181818181818</v>
      </c>
      <c r="J219" s="69">
        <f t="shared" si="51"/>
        <v>69375</v>
      </c>
    </row>
    <row r="220" spans="1:13" ht="21.75" customHeight="1" x14ac:dyDescent="0.2">
      <c r="A220" s="99" t="s">
        <v>242</v>
      </c>
      <c r="B220" s="169" t="s">
        <v>775</v>
      </c>
      <c r="C220" s="91">
        <v>0</v>
      </c>
      <c r="D220" s="123">
        <v>0</v>
      </c>
      <c r="E220" s="123">
        <v>43283</v>
      </c>
      <c r="F220" s="303">
        <f t="shared" si="48"/>
        <v>44000</v>
      </c>
      <c r="G220" s="162">
        <v>0</v>
      </c>
      <c r="H220" s="92">
        <f>SUM('Kiadások részletes COFOG'!F392)</f>
        <v>44000</v>
      </c>
      <c r="I220" s="762"/>
    </row>
    <row r="221" spans="1:13" ht="21.75" customHeight="1" x14ac:dyDescent="0.2">
      <c r="A221" s="99" t="s">
        <v>244</v>
      </c>
      <c r="B221" s="169" t="s">
        <v>477</v>
      </c>
      <c r="C221" s="91">
        <v>0</v>
      </c>
      <c r="D221" s="123">
        <v>0</v>
      </c>
      <c r="E221" s="123"/>
      <c r="F221" s="303">
        <f t="shared" si="48"/>
        <v>0</v>
      </c>
      <c r="G221" s="162">
        <v>0</v>
      </c>
      <c r="H221" s="92">
        <f>'Kiadások részletes COFOG'!F395</f>
        <v>0</v>
      </c>
      <c r="I221" s="762"/>
    </row>
    <row r="222" spans="1:13" ht="21.75" customHeight="1" x14ac:dyDescent="0.2">
      <c r="A222" s="99" t="s">
        <v>246</v>
      </c>
      <c r="B222" s="169" t="s">
        <v>273</v>
      </c>
      <c r="C222" s="91">
        <v>0</v>
      </c>
      <c r="D222" s="123">
        <v>0</v>
      </c>
      <c r="E222" s="123">
        <v>11687</v>
      </c>
      <c r="F222" s="303">
        <f t="shared" si="48"/>
        <v>12000</v>
      </c>
      <c r="G222" s="162">
        <v>0</v>
      </c>
      <c r="H222" s="92">
        <f>'Kiadások részletes COFOG'!F396</f>
        <v>12000</v>
      </c>
      <c r="I222" s="762"/>
    </row>
    <row r="223" spans="1:13" ht="21.75" customHeight="1" x14ac:dyDescent="0.2">
      <c r="A223" s="99" t="s">
        <v>248</v>
      </c>
      <c r="B223" s="169" t="s">
        <v>501</v>
      </c>
      <c r="C223" s="91">
        <v>0</v>
      </c>
      <c r="D223" s="123">
        <v>0</v>
      </c>
      <c r="E223" s="123"/>
      <c r="F223" s="303">
        <f t="shared" si="48"/>
        <v>0</v>
      </c>
      <c r="G223" s="162">
        <v>0</v>
      </c>
      <c r="H223" s="92">
        <f>'Kiadások részletes COFOG'!F397</f>
        <v>0</v>
      </c>
      <c r="I223" s="762"/>
    </row>
    <row r="224" spans="1:13" ht="21.75" customHeight="1" thickBot="1" x14ac:dyDescent="0.25">
      <c r="A224" s="87" t="s">
        <v>252</v>
      </c>
      <c r="B224" s="369" t="s">
        <v>274</v>
      </c>
      <c r="C224" s="342">
        <v>0</v>
      </c>
      <c r="D224" s="342">
        <v>0</v>
      </c>
      <c r="E224" s="342"/>
      <c r="F224" s="303">
        <f t="shared" si="48"/>
        <v>0</v>
      </c>
      <c r="G224" s="162">
        <v>0</v>
      </c>
      <c r="H224" s="343">
        <f>'Kiadások részletes COFOG'!F398</f>
        <v>0</v>
      </c>
      <c r="I224" s="762"/>
    </row>
    <row r="225" spans="1:10" ht="21.75" customHeight="1" thickBot="1" x14ac:dyDescent="0.25">
      <c r="A225" s="909" t="s">
        <v>276</v>
      </c>
      <c r="B225" s="909"/>
      <c r="C225" s="287">
        <f>SUM(C201:C224)</f>
        <v>7584300</v>
      </c>
      <c r="D225" s="287">
        <f t="shared" ref="D225:F225" si="52">SUM(D201:D224)</f>
        <v>7584300</v>
      </c>
      <c r="E225" s="287">
        <f t="shared" si="52"/>
        <v>6802683</v>
      </c>
      <c r="F225" s="287">
        <f t="shared" si="52"/>
        <v>210700</v>
      </c>
      <c r="G225" s="288">
        <f>H225/D225*100</f>
        <v>102.77810740608891</v>
      </c>
      <c r="H225" s="289">
        <f>SUM(H201:H224)</f>
        <v>7795000</v>
      </c>
      <c r="I225" s="762"/>
    </row>
    <row r="226" spans="1:10" ht="21.75" customHeight="1" thickBot="1" x14ac:dyDescent="0.25">
      <c r="A226" s="907" t="s">
        <v>424</v>
      </c>
      <c r="B226" s="908"/>
      <c r="C226" s="908"/>
      <c r="D226" s="908"/>
      <c r="E226" s="908"/>
      <c r="F226" s="908"/>
      <c r="G226" s="908"/>
      <c r="H226" s="910"/>
      <c r="I226" s="762"/>
    </row>
    <row r="227" spans="1:10" ht="21.75" customHeight="1" thickBot="1" x14ac:dyDescent="0.25">
      <c r="A227" s="901" t="s">
        <v>45</v>
      </c>
      <c r="B227" s="896" t="s">
        <v>46</v>
      </c>
      <c r="C227" s="898">
        <v>2023</v>
      </c>
      <c r="D227" s="899"/>
      <c r="E227" s="899"/>
      <c r="F227" s="899"/>
      <c r="G227" s="899"/>
      <c r="H227" s="902"/>
      <c r="I227" s="762"/>
    </row>
    <row r="228" spans="1:10" ht="21.75" customHeight="1" x14ac:dyDescent="0.2">
      <c r="A228" s="901"/>
      <c r="B228" s="896"/>
      <c r="C228" s="764" t="s">
        <v>47</v>
      </c>
      <c r="D228" s="764" t="s">
        <v>732</v>
      </c>
      <c r="E228" s="764" t="s">
        <v>746</v>
      </c>
      <c r="F228" s="764" t="s">
        <v>504</v>
      </c>
      <c r="G228" s="764" t="s">
        <v>380</v>
      </c>
      <c r="H228" s="765" t="s">
        <v>745</v>
      </c>
      <c r="I228" s="762"/>
    </row>
    <row r="229" spans="1:10" ht="21.75" customHeight="1" thickBot="1" x14ac:dyDescent="0.25">
      <c r="A229" s="99" t="s">
        <v>198</v>
      </c>
      <c r="B229" s="90" t="s">
        <v>199</v>
      </c>
      <c r="C229" s="676">
        <v>128400</v>
      </c>
      <c r="D229" s="676">
        <v>128400</v>
      </c>
      <c r="E229" s="763">
        <v>102300</v>
      </c>
      <c r="F229" s="123">
        <f>H229-C229</f>
        <v>0</v>
      </c>
      <c r="G229" s="513">
        <f>H229/C229*100</f>
        <v>100</v>
      </c>
      <c r="H229" s="124">
        <f>SUM('Kiadások részletes COFOG'!F405)</f>
        <v>128400</v>
      </c>
      <c r="I229" s="762">
        <f t="shared" si="50"/>
        <v>79.672897196261687</v>
      </c>
      <c r="J229" s="69">
        <f t="shared" si="51"/>
        <v>26100</v>
      </c>
    </row>
    <row r="230" spans="1:10" ht="21.75" customHeight="1" thickBot="1" x14ac:dyDescent="0.25">
      <c r="A230" s="897" t="s">
        <v>276</v>
      </c>
      <c r="B230" s="897"/>
      <c r="C230" s="81">
        <f>SUM(C229:C229)</f>
        <v>128400</v>
      </c>
      <c r="D230" s="81">
        <f t="shared" ref="D230:F230" si="53">SUM(D229:D229)</f>
        <v>128400</v>
      </c>
      <c r="E230" s="81">
        <f t="shared" si="53"/>
        <v>102300</v>
      </c>
      <c r="F230" s="81">
        <f t="shared" si="53"/>
        <v>0</v>
      </c>
      <c r="G230" s="273">
        <f>H230/C230*100</f>
        <v>100</v>
      </c>
      <c r="H230" s="82">
        <f>SUM(H229:H229)</f>
        <v>128400</v>
      </c>
      <c r="I230" s="762"/>
    </row>
    <row r="231" spans="1:10" ht="21.75" customHeight="1" thickBot="1" x14ac:dyDescent="0.25">
      <c r="A231" s="907" t="s">
        <v>598</v>
      </c>
      <c r="B231" s="908"/>
      <c r="C231" s="908"/>
      <c r="D231" s="908"/>
      <c r="E231" s="908"/>
      <c r="F231" s="908"/>
      <c r="G231" s="908"/>
      <c r="H231" s="908"/>
      <c r="I231" s="762"/>
    </row>
    <row r="232" spans="1:10" ht="21.75" customHeight="1" thickBot="1" x14ac:dyDescent="0.25">
      <c r="A232" s="901" t="s">
        <v>45</v>
      </c>
      <c r="B232" s="896" t="s">
        <v>46</v>
      </c>
      <c r="C232" s="898">
        <v>2023</v>
      </c>
      <c r="D232" s="899"/>
      <c r="E232" s="899"/>
      <c r="F232" s="899"/>
      <c r="G232" s="899"/>
      <c r="H232" s="902"/>
      <c r="I232" s="762"/>
    </row>
    <row r="233" spans="1:10" ht="21.75" customHeight="1" thickBot="1" x14ac:dyDescent="0.25">
      <c r="A233" s="901"/>
      <c r="B233" s="896"/>
      <c r="C233" s="120" t="s">
        <v>47</v>
      </c>
      <c r="D233" s="120" t="s">
        <v>732</v>
      </c>
      <c r="E233" s="120" t="s">
        <v>746</v>
      </c>
      <c r="F233" s="120" t="s">
        <v>504</v>
      </c>
      <c r="G233" s="120" t="s">
        <v>380</v>
      </c>
      <c r="H233" s="384" t="s">
        <v>745</v>
      </c>
      <c r="I233" s="762"/>
    </row>
    <row r="234" spans="1:10" ht="21.75" customHeight="1" x14ac:dyDescent="0.2">
      <c r="A234" s="318" t="s">
        <v>167</v>
      </c>
      <c r="B234" s="316" t="s">
        <v>168</v>
      </c>
      <c r="C234" s="344">
        <v>0</v>
      </c>
      <c r="D234" s="344"/>
      <c r="E234" s="344"/>
      <c r="F234" s="344">
        <v>0</v>
      </c>
      <c r="G234" s="344">
        <v>0</v>
      </c>
      <c r="H234" s="358">
        <v>0</v>
      </c>
      <c r="I234" s="762"/>
    </row>
    <row r="235" spans="1:10" ht="21.75" customHeight="1" thickBot="1" x14ac:dyDescent="0.25">
      <c r="A235" s="89" t="s">
        <v>210</v>
      </c>
      <c r="B235" s="90" t="s">
        <v>599</v>
      </c>
      <c r="C235" s="285">
        <v>0</v>
      </c>
      <c r="D235" s="285"/>
      <c r="E235" s="285"/>
      <c r="F235" s="285">
        <v>0</v>
      </c>
      <c r="G235" s="285">
        <v>0</v>
      </c>
      <c r="H235" s="604">
        <v>0</v>
      </c>
      <c r="I235" s="762"/>
    </row>
    <row r="236" spans="1:10" ht="21.75" customHeight="1" thickBot="1" x14ac:dyDescent="0.25">
      <c r="A236" s="897" t="s">
        <v>276</v>
      </c>
      <c r="B236" s="897"/>
      <c r="C236" s="81">
        <f>SUM(C234:C235)</f>
        <v>0</v>
      </c>
      <c r="D236" s="81"/>
      <c r="E236" s="81"/>
      <c r="F236" s="81">
        <v>0</v>
      </c>
      <c r="G236" s="81">
        <v>0</v>
      </c>
      <c r="H236" s="514">
        <f>SUM(H234:H235)</f>
        <v>0</v>
      </c>
      <c r="I236" s="762"/>
    </row>
    <row r="237" spans="1:10" ht="26.25" customHeight="1" thickBot="1" x14ac:dyDescent="0.25">
      <c r="A237" s="857" t="s">
        <v>427</v>
      </c>
      <c r="B237" s="857"/>
      <c r="C237" s="857"/>
      <c r="D237" s="857"/>
      <c r="E237" s="857"/>
      <c r="F237" s="857"/>
      <c r="G237" s="857"/>
      <c r="H237" s="857"/>
      <c r="I237" s="762"/>
    </row>
    <row r="238" spans="1:10" ht="19.5" customHeight="1" thickBot="1" x14ac:dyDescent="0.25">
      <c r="A238" s="901" t="s">
        <v>45</v>
      </c>
      <c r="B238" s="896" t="s">
        <v>46</v>
      </c>
      <c r="C238" s="898">
        <v>2023</v>
      </c>
      <c r="D238" s="899"/>
      <c r="E238" s="899"/>
      <c r="F238" s="899"/>
      <c r="G238" s="899"/>
      <c r="H238" s="902"/>
      <c r="I238" s="762"/>
    </row>
    <row r="239" spans="1:10" ht="27" customHeight="1" thickBot="1" x14ac:dyDescent="0.25">
      <c r="A239" s="901"/>
      <c r="B239" s="896"/>
      <c r="C239" s="120" t="s">
        <v>47</v>
      </c>
      <c r="D239" s="120" t="s">
        <v>732</v>
      </c>
      <c r="E239" s="120" t="s">
        <v>746</v>
      </c>
      <c r="F239" s="120" t="s">
        <v>504</v>
      </c>
      <c r="G239" s="120" t="s">
        <v>380</v>
      </c>
      <c r="H239" s="384" t="s">
        <v>745</v>
      </c>
      <c r="I239" s="762"/>
    </row>
    <row r="240" spans="1:10" ht="21" x14ac:dyDescent="0.2">
      <c r="A240" s="99" t="s">
        <v>151</v>
      </c>
      <c r="B240" s="77" t="s">
        <v>152</v>
      </c>
      <c r="C240" s="97">
        <v>0</v>
      </c>
      <c r="D240" s="97">
        <v>0</v>
      </c>
      <c r="E240" s="97"/>
      <c r="F240" s="97">
        <f t="shared" ref="F240:F247" si="54">H240-C240</f>
        <v>0</v>
      </c>
      <c r="G240" s="162">
        <v>0</v>
      </c>
      <c r="H240" s="98">
        <f>'Kiadások részletes COFOG'!F409</f>
        <v>0</v>
      </c>
      <c r="I240" s="762"/>
    </row>
    <row r="241" spans="1:18" ht="15.95" customHeight="1" x14ac:dyDescent="0.2">
      <c r="A241" s="99" t="s">
        <v>155</v>
      </c>
      <c r="B241" s="77" t="s">
        <v>156</v>
      </c>
      <c r="C241" s="91">
        <v>0</v>
      </c>
      <c r="D241" s="91">
        <v>0</v>
      </c>
      <c r="E241" s="91"/>
      <c r="F241" s="97">
        <f t="shared" si="54"/>
        <v>0</v>
      </c>
      <c r="G241" s="162">
        <v>0</v>
      </c>
      <c r="H241" s="92">
        <f>'Kiadások részletes COFOG'!F410</f>
        <v>0</v>
      </c>
      <c r="I241" s="762"/>
      <c r="K241" s="34"/>
      <c r="L241" s="34"/>
      <c r="M241" s="34"/>
      <c r="N241" s="34"/>
      <c r="O241" s="34"/>
      <c r="P241" s="34"/>
    </row>
    <row r="242" spans="1:18" ht="15.95" customHeight="1" x14ac:dyDescent="0.2">
      <c r="A242" s="99" t="s">
        <v>157</v>
      </c>
      <c r="B242" s="77" t="s">
        <v>158</v>
      </c>
      <c r="C242" s="91">
        <v>0</v>
      </c>
      <c r="D242" s="91">
        <v>0</v>
      </c>
      <c r="E242" s="91"/>
      <c r="F242" s="97">
        <f t="shared" si="54"/>
        <v>0</v>
      </c>
      <c r="G242" s="162">
        <v>0</v>
      </c>
      <c r="H242" s="92">
        <v>0</v>
      </c>
      <c r="I242" s="762"/>
    </row>
    <row r="243" spans="1:18" ht="15.95" customHeight="1" x14ac:dyDescent="0.2">
      <c r="A243" s="99" t="s">
        <v>167</v>
      </c>
      <c r="B243" s="77" t="s">
        <v>168</v>
      </c>
      <c r="C243" s="91">
        <v>0</v>
      </c>
      <c r="D243" s="91">
        <v>0</v>
      </c>
      <c r="E243" s="91"/>
      <c r="F243" s="97">
        <f t="shared" si="54"/>
        <v>0</v>
      </c>
      <c r="G243" s="162">
        <v>0</v>
      </c>
      <c r="H243" s="92">
        <f>'Kiadások részletes COFOG'!F411</f>
        <v>0</v>
      </c>
      <c r="I243" s="762"/>
      <c r="P243" s="69"/>
    </row>
    <row r="244" spans="1:18" ht="15.95" customHeight="1" x14ac:dyDescent="0.2">
      <c r="A244" s="99" t="s">
        <v>202</v>
      </c>
      <c r="B244" s="77" t="s">
        <v>203</v>
      </c>
      <c r="C244" s="91">
        <v>0</v>
      </c>
      <c r="D244" s="91">
        <v>0</v>
      </c>
      <c r="E244" s="91"/>
      <c r="F244" s="97">
        <f t="shared" si="54"/>
        <v>0</v>
      </c>
      <c r="G244" s="162">
        <v>0</v>
      </c>
      <c r="H244" s="92">
        <f>'Kiadások részletes COFOG'!F412</f>
        <v>0</v>
      </c>
      <c r="I244" s="762"/>
    </row>
    <row r="245" spans="1:18" ht="21" customHeight="1" x14ac:dyDescent="0.2">
      <c r="A245" s="99" t="s">
        <v>210</v>
      </c>
      <c r="B245" s="77" t="s">
        <v>268</v>
      </c>
      <c r="C245" s="91">
        <v>0</v>
      </c>
      <c r="D245" s="91">
        <v>0</v>
      </c>
      <c r="E245" s="91"/>
      <c r="F245" s="97">
        <f t="shared" si="54"/>
        <v>0</v>
      </c>
      <c r="G245" s="162">
        <v>0</v>
      </c>
      <c r="H245" s="92">
        <f>'Kiadások részletes COFOG'!F413</f>
        <v>0</v>
      </c>
      <c r="I245" s="762"/>
      <c r="M245" s="69"/>
    </row>
    <row r="246" spans="1:18" ht="20.25" customHeight="1" x14ac:dyDescent="0.2">
      <c r="A246" s="99" t="s">
        <v>244</v>
      </c>
      <c r="B246" s="77" t="s">
        <v>477</v>
      </c>
      <c r="C246" s="91">
        <v>0</v>
      </c>
      <c r="D246" s="91">
        <v>0</v>
      </c>
      <c r="E246" s="91"/>
      <c r="F246" s="97">
        <f t="shared" si="54"/>
        <v>0</v>
      </c>
      <c r="G246" s="162">
        <v>0</v>
      </c>
      <c r="H246" s="92">
        <f>'Kiadások részletes COFOG'!F414</f>
        <v>0</v>
      </c>
      <c r="I246" s="762"/>
      <c r="M246" s="69"/>
    </row>
    <row r="247" spans="1:18" ht="21" customHeight="1" thickBot="1" x14ac:dyDescent="0.25">
      <c r="A247" s="87" t="s">
        <v>246</v>
      </c>
      <c r="B247" s="80" t="s">
        <v>273</v>
      </c>
      <c r="C247" s="342">
        <v>0</v>
      </c>
      <c r="D247" s="342">
        <v>0</v>
      </c>
      <c r="E247" s="342"/>
      <c r="F247" s="97">
        <f t="shared" si="54"/>
        <v>0</v>
      </c>
      <c r="G247" s="162">
        <v>0</v>
      </c>
      <c r="H247" s="343">
        <f>'Kiadások részletes COFOG'!F416</f>
        <v>0</v>
      </c>
      <c r="I247" s="762"/>
      <c r="M247" s="69"/>
    </row>
    <row r="248" spans="1:18" ht="18.75" customHeight="1" thickBot="1" x14ac:dyDescent="0.25">
      <c r="A248" s="897" t="s">
        <v>276</v>
      </c>
      <c r="B248" s="897"/>
      <c r="C248" s="81">
        <f>SUM(C240:C247)</f>
        <v>0</v>
      </c>
      <c r="D248" s="81"/>
      <c r="E248" s="81"/>
      <c r="F248" s="81">
        <f>SUM(F240:F247)</f>
        <v>0</v>
      </c>
      <c r="G248" s="273">
        <v>0</v>
      </c>
      <c r="H248" s="82">
        <f>SUM(H240:H247)</f>
        <v>0</v>
      </c>
      <c r="I248" s="762"/>
    </row>
    <row r="249" spans="1:18" ht="24" customHeight="1" thickBot="1" x14ac:dyDescent="0.25">
      <c r="A249" s="857" t="s">
        <v>292</v>
      </c>
      <c r="B249" s="857"/>
      <c r="C249" s="857"/>
      <c r="D249" s="857"/>
      <c r="E249" s="857"/>
      <c r="F249" s="857"/>
      <c r="G249" s="857"/>
      <c r="H249" s="857"/>
      <c r="I249" s="762"/>
    </row>
    <row r="250" spans="1:18" ht="21" customHeight="1" thickBot="1" x14ac:dyDescent="0.25">
      <c r="A250" s="901" t="s">
        <v>45</v>
      </c>
      <c r="B250" s="896" t="s">
        <v>46</v>
      </c>
      <c r="C250" s="898">
        <v>2023</v>
      </c>
      <c r="D250" s="899"/>
      <c r="E250" s="899"/>
      <c r="F250" s="899"/>
      <c r="G250" s="899"/>
      <c r="H250" s="902"/>
      <c r="I250" s="762"/>
    </row>
    <row r="251" spans="1:18" ht="24" customHeight="1" thickBot="1" x14ac:dyDescent="0.25">
      <c r="A251" s="901"/>
      <c r="B251" s="896"/>
      <c r="C251" s="120" t="s">
        <v>47</v>
      </c>
      <c r="D251" s="120" t="s">
        <v>732</v>
      </c>
      <c r="E251" s="120" t="s">
        <v>746</v>
      </c>
      <c r="F251" s="120" t="s">
        <v>504</v>
      </c>
      <c r="G251" s="120" t="s">
        <v>380</v>
      </c>
      <c r="H251" s="384" t="s">
        <v>745</v>
      </c>
      <c r="I251" s="762"/>
    </row>
    <row r="252" spans="1:18" ht="26.25" customHeight="1" thickBot="1" x14ac:dyDescent="0.25">
      <c r="A252" s="143" t="s">
        <v>236</v>
      </c>
      <c r="B252" s="90" t="s">
        <v>430</v>
      </c>
      <c r="C252" s="285">
        <v>5389700</v>
      </c>
      <c r="D252" s="285">
        <v>6289700</v>
      </c>
      <c r="E252" s="285">
        <v>4009079</v>
      </c>
      <c r="F252" s="285">
        <f>H252-D252</f>
        <v>0</v>
      </c>
      <c r="G252" s="223">
        <f>H252/D252*100</f>
        <v>100</v>
      </c>
      <c r="H252" s="142">
        <f>'Kiadások részletes COFOG'!F440</f>
        <v>6289700</v>
      </c>
      <c r="I252" s="762">
        <f t="shared" si="50"/>
        <v>63.740385074009886</v>
      </c>
      <c r="J252" s="69">
        <f t="shared" si="51"/>
        <v>2280621</v>
      </c>
    </row>
    <row r="253" spans="1:18" ht="24" customHeight="1" thickBot="1" x14ac:dyDescent="0.25">
      <c r="A253" s="897" t="s">
        <v>276</v>
      </c>
      <c r="B253" s="897"/>
      <c r="C253" s="81">
        <f>SUM(C252)</f>
        <v>5389700</v>
      </c>
      <c r="D253" s="81">
        <f t="shared" ref="D253:E253" si="55">SUM(D252)</f>
        <v>6289700</v>
      </c>
      <c r="E253" s="81">
        <f t="shared" si="55"/>
        <v>4009079</v>
      </c>
      <c r="F253" s="81">
        <f>SUM(F252)</f>
        <v>0</v>
      </c>
      <c r="G253" s="275">
        <f>H253/D253*100</f>
        <v>100</v>
      </c>
      <c r="H253" s="82">
        <f>SUM(H252)</f>
        <v>6289700</v>
      </c>
      <c r="I253" s="762"/>
    </row>
    <row r="254" spans="1:18" ht="24.75" customHeight="1" thickBot="1" x14ac:dyDescent="0.25">
      <c r="A254" s="857" t="s">
        <v>134</v>
      </c>
      <c r="B254" s="857"/>
      <c r="C254" s="857"/>
      <c r="D254" s="857"/>
      <c r="E254" s="857"/>
      <c r="F254" s="857"/>
      <c r="G254" s="857"/>
      <c r="H254" s="857"/>
      <c r="I254" s="762"/>
    </row>
    <row r="255" spans="1:18" ht="21.75" customHeight="1" thickBot="1" x14ac:dyDescent="0.25">
      <c r="A255" s="901" t="s">
        <v>45</v>
      </c>
      <c r="B255" s="896" t="s">
        <v>46</v>
      </c>
      <c r="C255" s="898">
        <v>2023</v>
      </c>
      <c r="D255" s="899"/>
      <c r="E255" s="899"/>
      <c r="F255" s="899"/>
      <c r="G255" s="899"/>
      <c r="H255" s="902"/>
      <c r="I255" s="762"/>
      <c r="O255" s="34"/>
      <c r="P255" s="34"/>
      <c r="Q255" s="34"/>
      <c r="R255" s="34"/>
    </row>
    <row r="256" spans="1:18" ht="24.75" customHeight="1" x14ac:dyDescent="0.2">
      <c r="A256" s="901"/>
      <c r="B256" s="896"/>
      <c r="C256" s="764" t="s">
        <v>47</v>
      </c>
      <c r="D256" s="764" t="s">
        <v>732</v>
      </c>
      <c r="E256" s="764" t="s">
        <v>746</v>
      </c>
      <c r="F256" s="764" t="s">
        <v>504</v>
      </c>
      <c r="G256" s="764" t="s">
        <v>380</v>
      </c>
      <c r="H256" s="766" t="s">
        <v>745</v>
      </c>
      <c r="I256" s="762"/>
      <c r="Q256" s="144"/>
    </row>
    <row r="257" spans="1:17" ht="15.95" customHeight="1" x14ac:dyDescent="0.2">
      <c r="A257" s="99" t="s">
        <v>139</v>
      </c>
      <c r="B257" s="77" t="s">
        <v>140</v>
      </c>
      <c r="C257" s="123">
        <v>6900000</v>
      </c>
      <c r="D257" s="123">
        <v>6900000</v>
      </c>
      <c r="E257" s="123">
        <v>4587982</v>
      </c>
      <c r="F257" s="123">
        <f>H257-D257</f>
        <v>0</v>
      </c>
      <c r="G257" s="272">
        <f>H257/D257*100</f>
        <v>100</v>
      </c>
      <c r="H257" s="124">
        <f>'Kiadások részletes COFOG'!F449</f>
        <v>6900000</v>
      </c>
      <c r="I257" s="762">
        <f t="shared" si="50"/>
        <v>66.492492753623196</v>
      </c>
      <c r="J257" s="69">
        <f t="shared" si="51"/>
        <v>2312018</v>
      </c>
      <c r="N257" s="69"/>
      <c r="Q257" s="145"/>
    </row>
    <row r="258" spans="1:17" ht="15.95" customHeight="1" x14ac:dyDescent="0.2">
      <c r="A258" s="99" t="s">
        <v>420</v>
      </c>
      <c r="B258" s="77" t="s">
        <v>421</v>
      </c>
      <c r="C258" s="91">
        <v>150000</v>
      </c>
      <c r="D258" s="91">
        <v>150000</v>
      </c>
      <c r="E258" s="91">
        <v>250000</v>
      </c>
      <c r="F258" s="123">
        <f t="shared" ref="F258:F273" si="56">H258-D258</f>
        <v>100000</v>
      </c>
      <c r="G258" s="272">
        <f t="shared" ref="G258:G269" si="57">H258/D258*100</f>
        <v>166.66666666666669</v>
      </c>
      <c r="H258" s="92">
        <f>'Kiadások részletes COFOG'!F450</f>
        <v>250000</v>
      </c>
      <c r="I258" s="762">
        <f t="shared" si="50"/>
        <v>100</v>
      </c>
      <c r="J258" s="69">
        <f t="shared" si="51"/>
        <v>0</v>
      </c>
      <c r="Q258" s="145"/>
    </row>
    <row r="259" spans="1:17" ht="18.75" customHeight="1" x14ac:dyDescent="0.2">
      <c r="A259" s="99" t="s">
        <v>145</v>
      </c>
      <c r="B259" s="77" t="s">
        <v>146</v>
      </c>
      <c r="C259" s="91">
        <v>0</v>
      </c>
      <c r="D259" s="91">
        <v>0</v>
      </c>
      <c r="E259" s="91">
        <v>0</v>
      </c>
      <c r="F259" s="123">
        <f t="shared" si="56"/>
        <v>0</v>
      </c>
      <c r="G259" s="272">
        <v>0</v>
      </c>
      <c r="H259" s="92">
        <f>'Kiadások részletes COFOG'!F453</f>
        <v>0</v>
      </c>
      <c r="I259" s="762"/>
    </row>
    <row r="260" spans="1:17" ht="18.75" customHeight="1" x14ac:dyDescent="0.2">
      <c r="A260" s="99" t="s">
        <v>147</v>
      </c>
      <c r="B260" s="77" t="s">
        <v>148</v>
      </c>
      <c r="C260" s="91">
        <v>160000</v>
      </c>
      <c r="D260" s="91">
        <v>160000</v>
      </c>
      <c r="E260" s="91">
        <v>204320</v>
      </c>
      <c r="F260" s="123">
        <f t="shared" si="56"/>
        <v>100000</v>
      </c>
      <c r="G260" s="272">
        <f t="shared" si="57"/>
        <v>162.5</v>
      </c>
      <c r="H260" s="92">
        <f>SUM('Kiadások részletes COFOG'!F454)</f>
        <v>260000</v>
      </c>
      <c r="I260" s="762">
        <f t="shared" si="50"/>
        <v>78.58461538461539</v>
      </c>
      <c r="J260" s="69">
        <f t="shared" si="51"/>
        <v>55680</v>
      </c>
    </row>
    <row r="261" spans="1:17" ht="21" x14ac:dyDescent="0.2">
      <c r="A261" s="99" t="s">
        <v>151</v>
      </c>
      <c r="B261" s="77" t="s">
        <v>152</v>
      </c>
      <c r="C261" s="91">
        <v>0</v>
      </c>
      <c r="D261" s="91">
        <v>360000</v>
      </c>
      <c r="E261" s="91">
        <v>310750</v>
      </c>
      <c r="F261" s="123">
        <f t="shared" si="56"/>
        <v>0</v>
      </c>
      <c r="G261" s="272">
        <f t="shared" si="57"/>
        <v>100</v>
      </c>
      <c r="H261" s="92">
        <f>SUM('Kiadások részletes COFOG'!F459)</f>
        <v>360000</v>
      </c>
      <c r="I261" s="762">
        <f t="shared" si="50"/>
        <v>86.319444444444443</v>
      </c>
      <c r="J261" s="69">
        <f t="shared" si="51"/>
        <v>49250</v>
      </c>
    </row>
    <row r="262" spans="1:17" ht="15.95" customHeight="1" x14ac:dyDescent="0.2">
      <c r="A262" s="99" t="s">
        <v>155</v>
      </c>
      <c r="B262" s="77" t="s">
        <v>156</v>
      </c>
      <c r="C262" s="91">
        <v>1100000</v>
      </c>
      <c r="D262" s="91">
        <v>1100000</v>
      </c>
      <c r="E262" s="91">
        <v>788195</v>
      </c>
      <c r="F262" s="123">
        <f t="shared" si="56"/>
        <v>0</v>
      </c>
      <c r="G262" s="272">
        <f t="shared" si="57"/>
        <v>100</v>
      </c>
      <c r="H262" s="92">
        <f>'Kiadások részletes COFOG'!F464</f>
        <v>1100000</v>
      </c>
      <c r="I262" s="762">
        <f t="shared" si="50"/>
        <v>71.654090909090911</v>
      </c>
      <c r="J262" s="69">
        <f t="shared" si="51"/>
        <v>311805</v>
      </c>
      <c r="M262" s="69"/>
      <c r="N262" s="69"/>
      <c r="Q262" s="145"/>
    </row>
    <row r="263" spans="1:17" ht="15.95" customHeight="1" x14ac:dyDescent="0.2">
      <c r="A263" s="99" t="s">
        <v>167</v>
      </c>
      <c r="B263" s="77" t="s">
        <v>168</v>
      </c>
      <c r="C263" s="97">
        <v>1260000</v>
      </c>
      <c r="D263" s="97">
        <v>1016973</v>
      </c>
      <c r="E263" s="97">
        <v>619973</v>
      </c>
      <c r="F263" s="123">
        <f t="shared" si="56"/>
        <v>0</v>
      </c>
      <c r="G263" s="272">
        <f t="shared" si="57"/>
        <v>100</v>
      </c>
      <c r="H263" s="98">
        <f>'Kiadások részletes COFOG'!F470</f>
        <v>1016973</v>
      </c>
      <c r="I263" s="762">
        <f t="shared" si="50"/>
        <v>60.962582094116556</v>
      </c>
      <c r="J263" s="69">
        <f t="shared" si="51"/>
        <v>397000</v>
      </c>
      <c r="O263" s="146"/>
      <c r="P263" s="34"/>
      <c r="Q263" s="147"/>
    </row>
    <row r="264" spans="1:17" ht="15.95" customHeight="1" x14ac:dyDescent="0.2">
      <c r="A264" s="99" t="s">
        <v>600</v>
      </c>
      <c r="B264" s="77" t="s">
        <v>285</v>
      </c>
      <c r="C264" s="97">
        <v>300000</v>
      </c>
      <c r="D264" s="97">
        <v>300000</v>
      </c>
      <c r="E264" s="97">
        <v>396389</v>
      </c>
      <c r="F264" s="123">
        <f t="shared" si="56"/>
        <v>500000</v>
      </c>
      <c r="G264" s="272">
        <f t="shared" si="57"/>
        <v>266.66666666666663</v>
      </c>
      <c r="H264" s="98">
        <f>SUM('Kiadások részletes COFOG'!F471)</f>
        <v>800000</v>
      </c>
      <c r="I264" s="762">
        <f t="shared" si="50"/>
        <v>49.548625000000001</v>
      </c>
      <c r="J264" s="69">
        <f t="shared" si="51"/>
        <v>403611</v>
      </c>
      <c r="O264" s="146"/>
      <c r="P264" s="34"/>
      <c r="Q264" s="147"/>
    </row>
    <row r="265" spans="1:17" ht="15.95" customHeight="1" x14ac:dyDescent="0.2">
      <c r="A265" s="99" t="s">
        <v>192</v>
      </c>
      <c r="B265" s="77" t="s">
        <v>193</v>
      </c>
      <c r="C265" s="97">
        <v>18000000</v>
      </c>
      <c r="D265" s="97">
        <v>18000000</v>
      </c>
      <c r="E265" s="97">
        <v>10972180</v>
      </c>
      <c r="F265" s="123">
        <f t="shared" si="56"/>
        <v>0</v>
      </c>
      <c r="G265" s="272">
        <f t="shared" si="57"/>
        <v>100</v>
      </c>
      <c r="H265" s="98">
        <f>'Kiadások részletes COFOG'!F474</f>
        <v>18000000</v>
      </c>
      <c r="I265" s="762">
        <f t="shared" si="50"/>
        <v>60.95655555555556</v>
      </c>
      <c r="J265" s="69">
        <f t="shared" si="51"/>
        <v>7027820</v>
      </c>
    </row>
    <row r="266" spans="1:17" ht="15.95" customHeight="1" x14ac:dyDescent="0.2">
      <c r="A266" s="99" t="s">
        <v>196</v>
      </c>
      <c r="B266" s="77" t="s">
        <v>197</v>
      </c>
      <c r="C266" s="97">
        <v>300000</v>
      </c>
      <c r="D266" s="97">
        <v>150000</v>
      </c>
      <c r="E266" s="97">
        <v>187200</v>
      </c>
      <c r="F266" s="123">
        <f t="shared" si="56"/>
        <v>50000</v>
      </c>
      <c r="G266" s="272">
        <f t="shared" si="57"/>
        <v>133.33333333333331</v>
      </c>
      <c r="H266" s="98">
        <f>('Kiadások részletes COFOG'!F475)</f>
        <v>200000</v>
      </c>
      <c r="I266" s="762">
        <f t="shared" si="50"/>
        <v>93.600000000000009</v>
      </c>
      <c r="J266" s="69">
        <f t="shared" si="51"/>
        <v>12800</v>
      </c>
    </row>
    <row r="267" spans="1:17" ht="15.95" customHeight="1" x14ac:dyDescent="0.2">
      <c r="A267" s="99" t="s">
        <v>198</v>
      </c>
      <c r="B267" s="77" t="s">
        <v>199</v>
      </c>
      <c r="C267" s="97">
        <v>25000</v>
      </c>
      <c r="D267" s="97">
        <v>25000</v>
      </c>
      <c r="E267" s="97">
        <v>13700</v>
      </c>
      <c r="F267" s="123">
        <f t="shared" si="56"/>
        <v>0</v>
      </c>
      <c r="G267" s="272">
        <f t="shared" si="57"/>
        <v>100</v>
      </c>
      <c r="H267" s="98">
        <f>'Kiadások részletes COFOG'!F479</f>
        <v>25000</v>
      </c>
      <c r="I267" s="762">
        <f t="shared" si="50"/>
        <v>54.800000000000004</v>
      </c>
      <c r="J267" s="69">
        <f t="shared" si="51"/>
        <v>11300</v>
      </c>
    </row>
    <row r="268" spans="1:17" ht="15.95" customHeight="1" x14ac:dyDescent="0.2">
      <c r="A268" s="99" t="s">
        <v>202</v>
      </c>
      <c r="B268" s="77" t="s">
        <v>405</v>
      </c>
      <c r="C268" s="97">
        <v>50000</v>
      </c>
      <c r="D268" s="97">
        <v>50000</v>
      </c>
      <c r="E268" s="97">
        <v>0</v>
      </c>
      <c r="F268" s="123">
        <f t="shared" si="56"/>
        <v>0</v>
      </c>
      <c r="G268" s="272">
        <f t="shared" si="57"/>
        <v>100</v>
      </c>
      <c r="H268" s="98">
        <f>'Kiadások részletes COFOG'!F481</f>
        <v>50000</v>
      </c>
      <c r="I268" s="762">
        <f t="shared" si="50"/>
        <v>0</v>
      </c>
      <c r="J268" s="69">
        <f t="shared" si="51"/>
        <v>50000</v>
      </c>
    </row>
    <row r="269" spans="1:17" ht="21.75" customHeight="1" x14ac:dyDescent="0.2">
      <c r="A269" s="99" t="s">
        <v>210</v>
      </c>
      <c r="B269" s="77" t="s">
        <v>268</v>
      </c>
      <c r="C269" s="97">
        <v>5350000</v>
      </c>
      <c r="D269" s="97">
        <v>5330000</v>
      </c>
      <c r="E269" s="97">
        <v>3234717</v>
      </c>
      <c r="F269" s="123">
        <f t="shared" si="56"/>
        <v>0</v>
      </c>
      <c r="G269" s="272">
        <f t="shared" si="57"/>
        <v>100</v>
      </c>
      <c r="H269" s="98">
        <f>'Kiadások részletes COFOG'!F482</f>
        <v>5330000</v>
      </c>
      <c r="I269" s="762">
        <f t="shared" ref="I269:I323" si="58">SUM(E269/H269*100)</f>
        <v>60.688874296435266</v>
      </c>
      <c r="J269" s="69">
        <f t="shared" si="51"/>
        <v>2095283</v>
      </c>
    </row>
    <row r="270" spans="1:17" ht="18" customHeight="1" x14ac:dyDescent="0.2">
      <c r="A270" s="79" t="s">
        <v>244</v>
      </c>
      <c r="B270" s="80" t="s">
        <v>347</v>
      </c>
      <c r="C270" s="148">
        <v>0</v>
      </c>
      <c r="D270" s="148">
        <v>0</v>
      </c>
      <c r="E270" s="148">
        <v>595268</v>
      </c>
      <c r="F270" s="123">
        <f t="shared" si="56"/>
        <v>595300</v>
      </c>
      <c r="G270" s="162"/>
      <c r="H270" s="149">
        <f>'Kiadások részletes COFOG'!F484</f>
        <v>595300</v>
      </c>
      <c r="I270" s="762">
        <f t="shared" si="58"/>
        <v>99.99462455904586</v>
      </c>
      <c r="J270" s="69">
        <f t="shared" si="51"/>
        <v>32</v>
      </c>
    </row>
    <row r="271" spans="1:17" ht="21.75" customHeight="1" x14ac:dyDescent="0.2">
      <c r="A271" s="79" t="s">
        <v>246</v>
      </c>
      <c r="B271" s="80" t="s">
        <v>273</v>
      </c>
      <c r="C271" s="148">
        <v>0</v>
      </c>
      <c r="D271" s="148">
        <v>0</v>
      </c>
      <c r="E271" s="148">
        <v>160722</v>
      </c>
      <c r="F271" s="123">
        <f t="shared" si="56"/>
        <v>161000</v>
      </c>
      <c r="G271" s="162"/>
      <c r="H271" s="149">
        <f>'Kiadások részletes COFOG'!F485</f>
        <v>161000</v>
      </c>
      <c r="I271" s="762">
        <f t="shared" si="58"/>
        <v>99.827329192546586</v>
      </c>
      <c r="J271" s="69">
        <f t="shared" si="51"/>
        <v>278</v>
      </c>
    </row>
    <row r="272" spans="1:17" ht="21.75" customHeight="1" x14ac:dyDescent="0.2">
      <c r="A272" s="79" t="s">
        <v>294</v>
      </c>
      <c r="B272" s="80" t="s">
        <v>249</v>
      </c>
      <c r="C272" s="148">
        <v>0</v>
      </c>
      <c r="D272" s="148">
        <v>0</v>
      </c>
      <c r="E272" s="148"/>
      <c r="F272" s="123">
        <f t="shared" si="56"/>
        <v>0</v>
      </c>
      <c r="G272" s="162"/>
      <c r="H272" s="149">
        <f>'Kiadások részletes COFOG'!F486</f>
        <v>0</v>
      </c>
      <c r="I272" s="762"/>
    </row>
    <row r="273" spans="1:17" ht="22.5" customHeight="1" thickBot="1" x14ac:dyDescent="0.25">
      <c r="A273" s="79" t="s">
        <v>295</v>
      </c>
      <c r="B273" s="80" t="s">
        <v>274</v>
      </c>
      <c r="C273" s="148">
        <v>0</v>
      </c>
      <c r="D273" s="148">
        <v>0</v>
      </c>
      <c r="E273" s="148"/>
      <c r="F273" s="123">
        <f t="shared" si="56"/>
        <v>0</v>
      </c>
      <c r="G273" s="162"/>
      <c r="H273" s="149">
        <f>'Kiadások részletes COFOG'!F487</f>
        <v>0</v>
      </c>
      <c r="I273" s="762"/>
      <c r="K273" s="34"/>
      <c r="L273" s="34"/>
      <c r="M273" s="34"/>
      <c r="N273" s="34"/>
      <c r="O273" s="34"/>
      <c r="P273" s="34"/>
      <c r="Q273" s="34"/>
    </row>
    <row r="274" spans="1:17" ht="23.25" customHeight="1" thickBot="1" x14ac:dyDescent="0.25">
      <c r="A274" s="897" t="s">
        <v>276</v>
      </c>
      <c r="B274" s="897"/>
      <c r="C274" s="150">
        <f>SUM(C257:C273)</f>
        <v>33595000</v>
      </c>
      <c r="D274" s="150">
        <f t="shared" ref="D274:E274" si="59">SUM(D257:D273)</f>
        <v>33541973</v>
      </c>
      <c r="E274" s="150">
        <f t="shared" si="59"/>
        <v>22321396</v>
      </c>
      <c r="F274" s="150">
        <f>SUM(F257:F273)</f>
        <v>1506300</v>
      </c>
      <c r="G274" s="276">
        <f>H274/D274*100</f>
        <v>104.49079128410246</v>
      </c>
      <c r="H274" s="151">
        <f>SUM(H257:H273)</f>
        <v>35048273</v>
      </c>
      <c r="I274" s="762"/>
    </row>
    <row r="275" spans="1:17" ht="24" customHeight="1" thickBot="1" x14ac:dyDescent="0.25">
      <c r="A275" s="857" t="s">
        <v>594</v>
      </c>
      <c r="B275" s="857"/>
      <c r="C275" s="857"/>
      <c r="D275" s="857"/>
      <c r="E275" s="857"/>
      <c r="F275" s="857"/>
      <c r="G275" s="857"/>
      <c r="H275" s="857"/>
      <c r="I275" s="762"/>
    </row>
    <row r="276" spans="1:17" ht="24" customHeight="1" thickBot="1" x14ac:dyDescent="0.25">
      <c r="A276" s="901" t="s">
        <v>45</v>
      </c>
      <c r="B276" s="896" t="s">
        <v>46</v>
      </c>
      <c r="C276" s="898">
        <v>2023</v>
      </c>
      <c r="D276" s="899"/>
      <c r="E276" s="899"/>
      <c r="F276" s="899"/>
      <c r="G276" s="899"/>
      <c r="H276" s="902"/>
      <c r="I276" s="762"/>
    </row>
    <row r="277" spans="1:17" ht="24" customHeight="1" thickBot="1" x14ac:dyDescent="0.25">
      <c r="A277" s="901"/>
      <c r="B277" s="896"/>
      <c r="C277" s="120" t="s">
        <v>47</v>
      </c>
      <c r="D277" s="120" t="s">
        <v>732</v>
      </c>
      <c r="E277" s="120" t="s">
        <v>746</v>
      </c>
      <c r="F277" s="120" t="s">
        <v>504</v>
      </c>
      <c r="G277" s="120" t="s">
        <v>380</v>
      </c>
      <c r="H277" s="384" t="s">
        <v>745</v>
      </c>
      <c r="I277" s="762"/>
    </row>
    <row r="278" spans="1:17" ht="24" customHeight="1" x14ac:dyDescent="0.2">
      <c r="A278" s="79" t="s">
        <v>167</v>
      </c>
      <c r="B278" s="80" t="s">
        <v>168</v>
      </c>
      <c r="C278" s="83">
        <v>0</v>
      </c>
      <c r="D278" s="83">
        <v>0</v>
      </c>
      <c r="E278" s="83">
        <v>148771</v>
      </c>
      <c r="F278" s="83">
        <f>SUM(H278-D278)</f>
        <v>148771</v>
      </c>
      <c r="G278" s="191">
        <v>0</v>
      </c>
      <c r="H278" s="84">
        <f>SUM('Kiadások részletes COFOG'!F492)</f>
        <v>148771</v>
      </c>
      <c r="I278" s="762">
        <f t="shared" si="58"/>
        <v>100</v>
      </c>
      <c r="J278" s="69">
        <f t="shared" ref="J278:J281" si="60">SUM(H278-E278)</f>
        <v>0</v>
      </c>
    </row>
    <row r="279" spans="1:17" ht="24" customHeight="1" x14ac:dyDescent="0.2">
      <c r="A279" s="79" t="s">
        <v>192</v>
      </c>
      <c r="B279" s="80" t="s">
        <v>193</v>
      </c>
      <c r="C279" s="83">
        <v>0</v>
      </c>
      <c r="D279" s="83">
        <v>0</v>
      </c>
      <c r="E279" s="83">
        <v>353902</v>
      </c>
      <c r="F279" s="83">
        <f t="shared" ref="F279:F281" si="61">SUM(H279-D279)</f>
        <v>353902</v>
      </c>
      <c r="G279" s="191">
        <v>0</v>
      </c>
      <c r="H279" s="84">
        <f>SUM('Kiadások részletes COFOG'!F493)</f>
        <v>353902</v>
      </c>
      <c r="I279" s="762">
        <f t="shared" si="58"/>
        <v>100</v>
      </c>
      <c r="J279" s="69">
        <f t="shared" si="60"/>
        <v>0</v>
      </c>
    </row>
    <row r="280" spans="1:17" ht="24" customHeight="1" x14ac:dyDescent="0.2">
      <c r="A280" s="79" t="s">
        <v>202</v>
      </c>
      <c r="B280" s="80" t="s">
        <v>203</v>
      </c>
      <c r="C280" s="83">
        <v>0</v>
      </c>
      <c r="D280" s="83">
        <v>0</v>
      </c>
      <c r="E280" s="83">
        <v>396244</v>
      </c>
      <c r="F280" s="83">
        <f>SUM(H280-D280)</f>
        <v>396244</v>
      </c>
      <c r="G280" s="191">
        <v>0</v>
      </c>
      <c r="H280" s="84">
        <f>SUM('Kiadások részletes COFOG'!F494)</f>
        <v>396244</v>
      </c>
      <c r="I280" s="762">
        <f t="shared" si="58"/>
        <v>100</v>
      </c>
      <c r="J280" s="69">
        <f t="shared" si="60"/>
        <v>0</v>
      </c>
    </row>
    <row r="281" spans="1:17" ht="24" customHeight="1" thickBot="1" x14ac:dyDescent="0.25">
      <c r="A281" s="79" t="s">
        <v>210</v>
      </c>
      <c r="B281" s="80" t="s">
        <v>595</v>
      </c>
      <c r="C281" s="83">
        <v>0</v>
      </c>
      <c r="D281" s="83">
        <v>0</v>
      </c>
      <c r="E281" s="83">
        <v>150638</v>
      </c>
      <c r="F281" s="83">
        <f t="shared" si="61"/>
        <v>150638</v>
      </c>
      <c r="G281" s="191">
        <v>0</v>
      </c>
      <c r="H281" s="84">
        <f>SUM('Kiadások részletes COFOG'!F495)</f>
        <v>150638</v>
      </c>
      <c r="I281" s="762">
        <f t="shared" si="58"/>
        <v>100</v>
      </c>
      <c r="J281" s="69">
        <f t="shared" si="60"/>
        <v>0</v>
      </c>
    </row>
    <row r="282" spans="1:17" ht="24" customHeight="1" thickBot="1" x14ac:dyDescent="0.25">
      <c r="A282" s="897" t="s">
        <v>276</v>
      </c>
      <c r="B282" s="897"/>
      <c r="C282" s="81">
        <f>SUM(C278:C281)</f>
        <v>0</v>
      </c>
      <c r="D282" s="81">
        <v>0</v>
      </c>
      <c r="E282" s="81">
        <f>SUM(E278:E281)</f>
        <v>1049555</v>
      </c>
      <c r="F282" s="81">
        <f>SUM(F278:F281)</f>
        <v>1049555</v>
      </c>
      <c r="G282" s="273">
        <v>0</v>
      </c>
      <c r="H282" s="82">
        <f>SUM(H278:H281)</f>
        <v>1049555</v>
      </c>
      <c r="I282" s="762"/>
    </row>
    <row r="283" spans="1:17" ht="26.25" customHeight="1" thickBot="1" x14ac:dyDescent="0.25">
      <c r="A283" s="857" t="s">
        <v>447</v>
      </c>
      <c r="B283" s="857"/>
      <c r="C283" s="857"/>
      <c r="D283" s="857"/>
      <c r="E283" s="857"/>
      <c r="F283" s="857"/>
      <c r="G283" s="857"/>
      <c r="H283" s="857"/>
      <c r="I283" s="762"/>
    </row>
    <row r="284" spans="1:17" ht="17.25" customHeight="1" thickBot="1" x14ac:dyDescent="0.25">
      <c r="A284" s="901" t="s">
        <v>45</v>
      </c>
      <c r="B284" s="896" t="s">
        <v>46</v>
      </c>
      <c r="C284" s="898">
        <v>2023</v>
      </c>
      <c r="D284" s="899"/>
      <c r="E284" s="899"/>
      <c r="F284" s="899"/>
      <c r="G284" s="899"/>
      <c r="H284" s="902"/>
      <c r="I284" s="762"/>
    </row>
    <row r="285" spans="1:17" ht="25.5" customHeight="1" thickBot="1" x14ac:dyDescent="0.25">
      <c r="A285" s="901"/>
      <c r="B285" s="896"/>
      <c r="C285" s="120" t="s">
        <v>47</v>
      </c>
      <c r="D285" s="120" t="s">
        <v>732</v>
      </c>
      <c r="E285" s="120" t="s">
        <v>746</v>
      </c>
      <c r="F285" s="120" t="s">
        <v>504</v>
      </c>
      <c r="G285" s="120" t="s">
        <v>380</v>
      </c>
      <c r="H285" s="384" t="s">
        <v>745</v>
      </c>
      <c r="I285" s="762"/>
    </row>
    <row r="286" spans="1:17" ht="21" customHeight="1" x14ac:dyDescent="0.2">
      <c r="A286" s="79" t="s">
        <v>192</v>
      </c>
      <c r="B286" s="80" t="s">
        <v>448</v>
      </c>
      <c r="C286" s="83">
        <v>1800000</v>
      </c>
      <c r="D286" s="83">
        <v>1800000</v>
      </c>
      <c r="E286" s="83">
        <v>1116000</v>
      </c>
      <c r="F286" s="83">
        <f>SUM(H286-D286)</f>
        <v>0</v>
      </c>
      <c r="G286" s="191">
        <f>H286/D286*100</f>
        <v>100</v>
      </c>
      <c r="H286" s="84">
        <f>'Kiadások részletes COFOG'!F500</f>
        <v>1800000</v>
      </c>
      <c r="I286" s="762">
        <f t="shared" si="58"/>
        <v>62</v>
      </c>
      <c r="J286" s="69">
        <f t="shared" ref="J286:J323" si="62">SUM(H286-E286)</f>
        <v>684000</v>
      </c>
    </row>
    <row r="287" spans="1:17" ht="21" customHeight="1" thickBot="1" x14ac:dyDescent="0.25">
      <c r="A287" s="79" t="s">
        <v>210</v>
      </c>
      <c r="B287" s="127" t="s">
        <v>268</v>
      </c>
      <c r="C287" s="83">
        <v>486000</v>
      </c>
      <c r="D287" s="83">
        <v>486000</v>
      </c>
      <c r="E287" s="83">
        <v>301320</v>
      </c>
      <c r="F287" s="83">
        <f>SUM(H287-D287)</f>
        <v>0</v>
      </c>
      <c r="G287" s="191">
        <f>H287/D287*100</f>
        <v>100</v>
      </c>
      <c r="H287" s="84">
        <f>'Kiadások részletes COFOG'!F501</f>
        <v>486000</v>
      </c>
      <c r="I287" s="762">
        <f t="shared" si="58"/>
        <v>62</v>
      </c>
      <c r="J287" s="69">
        <f t="shared" si="62"/>
        <v>184680</v>
      </c>
    </row>
    <row r="288" spans="1:17" ht="19.5" customHeight="1" thickBot="1" x14ac:dyDescent="0.25">
      <c r="A288" s="897" t="s">
        <v>276</v>
      </c>
      <c r="B288" s="897"/>
      <c r="C288" s="81">
        <f>SUM(C286:C287)</f>
        <v>2286000</v>
      </c>
      <c r="D288" s="81">
        <f t="shared" ref="D288:E288" si="63">SUM(D286:D287)</f>
        <v>2286000</v>
      </c>
      <c r="E288" s="81">
        <f t="shared" si="63"/>
        <v>1417320</v>
      </c>
      <c r="F288" s="81">
        <f>F286+F287</f>
        <v>0</v>
      </c>
      <c r="G288" s="273">
        <f>H288/D288*100</f>
        <v>100</v>
      </c>
      <c r="H288" s="82">
        <f>H286+H287</f>
        <v>2286000</v>
      </c>
      <c r="I288" s="762"/>
    </row>
    <row r="289" spans="1:10" ht="22.5" hidden="1" customHeight="1" thickBot="1" x14ac:dyDescent="0.25">
      <c r="A289" s="857" t="s">
        <v>296</v>
      </c>
      <c r="B289" s="857"/>
      <c r="C289" s="857"/>
      <c r="D289" s="857"/>
      <c r="E289" s="857"/>
      <c r="F289" s="857"/>
      <c r="G289" s="857"/>
      <c r="H289" s="857"/>
      <c r="I289" s="762" t="e">
        <f t="shared" si="58"/>
        <v>#DIV/0!</v>
      </c>
      <c r="J289" s="69">
        <f t="shared" si="62"/>
        <v>0</v>
      </c>
    </row>
    <row r="290" spans="1:10" ht="19.5" hidden="1" customHeight="1" thickBot="1" x14ac:dyDescent="0.25">
      <c r="A290" s="901" t="s">
        <v>45</v>
      </c>
      <c r="B290" s="896" t="s">
        <v>46</v>
      </c>
      <c r="C290" s="898">
        <v>2021</v>
      </c>
      <c r="D290" s="899"/>
      <c r="E290" s="899"/>
      <c r="F290" s="900"/>
      <c r="G290" s="900"/>
      <c r="H290" s="385">
        <v>2022</v>
      </c>
      <c r="I290" s="762">
        <f t="shared" si="58"/>
        <v>0</v>
      </c>
      <c r="J290" s="69">
        <f t="shared" si="62"/>
        <v>2022</v>
      </c>
    </row>
    <row r="291" spans="1:10" ht="21.75" hidden="1" customHeight="1" thickBot="1" x14ac:dyDescent="0.25">
      <c r="A291" s="901"/>
      <c r="B291" s="896"/>
      <c r="C291" s="120" t="s">
        <v>47</v>
      </c>
      <c r="D291" s="120"/>
      <c r="E291" s="120"/>
      <c r="F291" s="120" t="s">
        <v>504</v>
      </c>
      <c r="G291" s="120" t="s">
        <v>380</v>
      </c>
      <c r="H291" s="384" t="s">
        <v>505</v>
      </c>
      <c r="I291" s="762" t="e">
        <f t="shared" si="58"/>
        <v>#VALUE!</v>
      </c>
      <c r="J291" s="69" t="e">
        <f t="shared" si="62"/>
        <v>#VALUE!</v>
      </c>
    </row>
    <row r="292" spans="1:10" ht="19.5" hidden="1" customHeight="1" x14ac:dyDescent="0.2">
      <c r="A292" s="125" t="s">
        <v>192</v>
      </c>
      <c r="B292" s="153" t="s">
        <v>193</v>
      </c>
      <c r="C292" s="91">
        <v>0</v>
      </c>
      <c r="D292" s="91"/>
      <c r="E292" s="91"/>
      <c r="F292" s="91">
        <v>0</v>
      </c>
      <c r="G292" s="162">
        <v>0</v>
      </c>
      <c r="H292" s="92">
        <f>'Kiadások részletes COFOG'!F511</f>
        <v>0</v>
      </c>
      <c r="I292" s="762" t="e">
        <f t="shared" si="58"/>
        <v>#DIV/0!</v>
      </c>
      <c r="J292" s="69">
        <f t="shared" si="62"/>
        <v>0</v>
      </c>
    </row>
    <row r="293" spans="1:10" ht="21.75" hidden="1" thickBot="1" x14ac:dyDescent="0.25">
      <c r="A293" s="125" t="s">
        <v>210</v>
      </c>
      <c r="B293" s="153" t="s">
        <v>268</v>
      </c>
      <c r="C293" s="91">
        <v>0</v>
      </c>
      <c r="D293" s="91"/>
      <c r="E293" s="91"/>
      <c r="F293" s="91">
        <v>0</v>
      </c>
      <c r="G293" s="162">
        <v>0</v>
      </c>
      <c r="H293" s="92">
        <f>'Kiadások részletes COFOG'!F512</f>
        <v>0</v>
      </c>
      <c r="I293" s="762" t="e">
        <f t="shared" si="58"/>
        <v>#DIV/0!</v>
      </c>
      <c r="J293" s="69">
        <f t="shared" si="62"/>
        <v>0</v>
      </c>
    </row>
    <row r="294" spans="1:10" ht="19.5" hidden="1" customHeight="1" thickBot="1" x14ac:dyDescent="0.25">
      <c r="A294" s="897" t="s">
        <v>276</v>
      </c>
      <c r="B294" s="897"/>
      <c r="C294" s="81">
        <f>SUM(C292:C293)</f>
        <v>0</v>
      </c>
      <c r="D294" s="81"/>
      <c r="E294" s="81"/>
      <c r="F294" s="81">
        <f>SUM(F292:F293)</f>
        <v>0</v>
      </c>
      <c r="G294" s="273">
        <v>0</v>
      </c>
      <c r="H294" s="82">
        <f>SUM(H292:H293)</f>
        <v>0</v>
      </c>
      <c r="I294" s="762" t="e">
        <f t="shared" si="58"/>
        <v>#DIV/0!</v>
      </c>
      <c r="J294" s="69">
        <f t="shared" si="62"/>
        <v>0</v>
      </c>
    </row>
    <row r="295" spans="1:10" ht="23.25" hidden="1" customHeight="1" thickBot="1" x14ac:dyDescent="0.25">
      <c r="A295" s="857" t="s">
        <v>136</v>
      </c>
      <c r="B295" s="857"/>
      <c r="C295" s="857"/>
      <c r="D295" s="857"/>
      <c r="E295" s="857"/>
      <c r="F295" s="857"/>
      <c r="G295" s="857"/>
      <c r="H295" s="857"/>
      <c r="I295" s="762" t="e">
        <f t="shared" si="58"/>
        <v>#DIV/0!</v>
      </c>
      <c r="J295" s="69">
        <f t="shared" si="62"/>
        <v>0</v>
      </c>
    </row>
    <row r="296" spans="1:10" ht="16.5" hidden="1" customHeight="1" thickBot="1" x14ac:dyDescent="0.25">
      <c r="A296" s="901" t="s">
        <v>45</v>
      </c>
      <c r="B296" s="896" t="s">
        <v>46</v>
      </c>
      <c r="C296" s="898">
        <v>2021</v>
      </c>
      <c r="D296" s="899"/>
      <c r="E296" s="899"/>
      <c r="F296" s="900"/>
      <c r="G296" s="900"/>
      <c r="H296" s="385">
        <v>2022</v>
      </c>
      <c r="I296" s="762">
        <f t="shared" si="58"/>
        <v>0</v>
      </c>
      <c r="J296" s="69">
        <f t="shared" si="62"/>
        <v>2022</v>
      </c>
    </row>
    <row r="297" spans="1:10" ht="25.5" hidden="1" customHeight="1" thickBot="1" x14ac:dyDescent="0.25">
      <c r="A297" s="901"/>
      <c r="B297" s="896"/>
      <c r="C297" s="120" t="s">
        <v>47</v>
      </c>
      <c r="D297" s="120"/>
      <c r="E297" s="120"/>
      <c r="F297" s="120" t="s">
        <v>504</v>
      </c>
      <c r="G297" s="120" t="s">
        <v>380</v>
      </c>
      <c r="H297" s="384" t="s">
        <v>505</v>
      </c>
      <c r="I297" s="762" t="e">
        <f t="shared" si="58"/>
        <v>#VALUE!</v>
      </c>
      <c r="J297" s="69" t="e">
        <f t="shared" si="62"/>
        <v>#VALUE!</v>
      </c>
    </row>
    <row r="298" spans="1:10" ht="25.5" hidden="1" customHeight="1" thickBot="1" x14ac:dyDescent="0.25">
      <c r="A298" s="129" t="s">
        <v>218</v>
      </c>
      <c r="B298" s="130" t="s">
        <v>297</v>
      </c>
      <c r="C298" s="240">
        <v>0</v>
      </c>
      <c r="D298" s="240"/>
      <c r="E298" s="240"/>
      <c r="F298" s="131">
        <f>H298-C298</f>
        <v>0</v>
      </c>
      <c r="G298" s="191">
        <v>0</v>
      </c>
      <c r="H298" s="154">
        <f>'Kiadások részletes COFOG'!F506</f>
        <v>0</v>
      </c>
      <c r="I298" s="762" t="e">
        <f t="shared" si="58"/>
        <v>#DIV/0!</v>
      </c>
      <c r="J298" s="69">
        <f t="shared" si="62"/>
        <v>0</v>
      </c>
    </row>
    <row r="299" spans="1:10" ht="21" hidden="1" customHeight="1" thickBot="1" x14ac:dyDescent="0.25">
      <c r="A299" s="897" t="s">
        <v>276</v>
      </c>
      <c r="B299" s="897"/>
      <c r="C299" s="81">
        <v>0</v>
      </c>
      <c r="D299" s="81"/>
      <c r="E299" s="81"/>
      <c r="F299" s="81">
        <f>SUM(F298:F298)</f>
        <v>0</v>
      </c>
      <c r="G299" s="273">
        <v>0</v>
      </c>
      <c r="H299" s="82">
        <f>SUM(H298:H298)</f>
        <v>0</v>
      </c>
      <c r="I299" s="762" t="e">
        <f t="shared" si="58"/>
        <v>#DIV/0!</v>
      </c>
      <c r="J299" s="69">
        <f t="shared" si="62"/>
        <v>0</v>
      </c>
    </row>
    <row r="300" spans="1:10" ht="24.75" customHeight="1" thickBot="1" x14ac:dyDescent="0.25">
      <c r="A300" s="857" t="s">
        <v>449</v>
      </c>
      <c r="B300" s="857"/>
      <c r="C300" s="857"/>
      <c r="D300" s="857"/>
      <c r="E300" s="857"/>
      <c r="F300" s="857"/>
      <c r="G300" s="857"/>
      <c r="H300" s="857"/>
      <c r="I300" s="762"/>
    </row>
    <row r="301" spans="1:10" ht="15.75" customHeight="1" thickBot="1" x14ac:dyDescent="0.25">
      <c r="A301" s="901" t="s">
        <v>45</v>
      </c>
      <c r="B301" s="896" t="s">
        <v>46</v>
      </c>
      <c r="C301" s="898">
        <v>2023</v>
      </c>
      <c r="D301" s="899"/>
      <c r="E301" s="899"/>
      <c r="F301" s="899"/>
      <c r="G301" s="899"/>
      <c r="H301" s="902"/>
      <c r="I301" s="762"/>
    </row>
    <row r="302" spans="1:10" ht="24" customHeight="1" thickBot="1" x14ac:dyDescent="0.25">
      <c r="A302" s="904"/>
      <c r="B302" s="905"/>
      <c r="C302" s="120" t="s">
        <v>47</v>
      </c>
      <c r="D302" s="120" t="s">
        <v>732</v>
      </c>
      <c r="E302" s="120" t="s">
        <v>746</v>
      </c>
      <c r="F302" s="120" t="s">
        <v>504</v>
      </c>
      <c r="G302" s="120" t="s">
        <v>380</v>
      </c>
      <c r="H302" s="384" t="s">
        <v>745</v>
      </c>
      <c r="I302" s="762"/>
    </row>
    <row r="303" spans="1:10" ht="24" customHeight="1" x14ac:dyDescent="0.2">
      <c r="A303" s="377" t="s">
        <v>499</v>
      </c>
      <c r="B303" s="375" t="s">
        <v>411</v>
      </c>
      <c r="C303" s="148">
        <v>0</v>
      </c>
      <c r="D303" s="148">
        <v>0</v>
      </c>
      <c r="E303" s="148"/>
      <c r="F303" s="97">
        <f t="shared" ref="F303:F305" si="64">H303-D303</f>
        <v>0</v>
      </c>
      <c r="G303" s="372"/>
      <c r="H303" s="373">
        <f>'Kiadások részletes COFOG'!F517</f>
        <v>0</v>
      </c>
      <c r="I303" s="762"/>
    </row>
    <row r="304" spans="1:10" ht="24" customHeight="1" x14ac:dyDescent="0.2">
      <c r="A304" s="74" t="s">
        <v>420</v>
      </c>
      <c r="B304" s="75" t="s">
        <v>597</v>
      </c>
      <c r="C304" s="148">
        <v>0</v>
      </c>
      <c r="D304" s="148">
        <v>0</v>
      </c>
      <c r="E304" s="148"/>
      <c r="F304" s="97">
        <f t="shared" si="64"/>
        <v>0</v>
      </c>
      <c r="G304" s="519"/>
      <c r="H304" s="520">
        <f>SUM('Kiadások részletes COFOG'!F518)</f>
        <v>0</v>
      </c>
      <c r="I304" s="762"/>
    </row>
    <row r="305" spans="1:17" ht="24" customHeight="1" x14ac:dyDescent="0.2">
      <c r="A305" s="427" t="s">
        <v>145</v>
      </c>
      <c r="B305" s="428" t="s">
        <v>146</v>
      </c>
      <c r="C305" s="148">
        <v>0</v>
      </c>
      <c r="D305" s="148">
        <v>0</v>
      </c>
      <c r="E305" s="148"/>
      <c r="F305" s="97">
        <f t="shared" si="64"/>
        <v>0</v>
      </c>
      <c r="G305" s="478"/>
      <c r="H305" s="479">
        <f>SUM('Kiadások részletes COFOG'!F519)</f>
        <v>0</v>
      </c>
      <c r="I305" s="762"/>
    </row>
    <row r="306" spans="1:17" ht="24" customHeight="1" x14ac:dyDescent="0.2">
      <c r="A306" s="76" t="s">
        <v>151</v>
      </c>
      <c r="B306" s="77" t="s">
        <v>152</v>
      </c>
      <c r="C306" s="97">
        <v>1980000</v>
      </c>
      <c r="D306" s="97">
        <v>1980000</v>
      </c>
      <c r="E306" s="97">
        <v>1237500</v>
      </c>
      <c r="F306" s="97">
        <f>H306-D306</f>
        <v>0</v>
      </c>
      <c r="G306" s="478">
        <f>SUM(H306/D306*100)</f>
        <v>100</v>
      </c>
      <c r="H306" s="479">
        <f>SUM('Kiadások részletes COFOG'!F520)</f>
        <v>1980000</v>
      </c>
      <c r="I306" s="762">
        <f t="shared" si="58"/>
        <v>62.5</v>
      </c>
      <c r="J306" s="69">
        <f t="shared" si="62"/>
        <v>742500</v>
      </c>
    </row>
    <row r="307" spans="1:17" ht="24" customHeight="1" x14ac:dyDescent="0.2">
      <c r="A307" s="326" t="s">
        <v>344</v>
      </c>
      <c r="B307" s="376" t="s">
        <v>156</v>
      </c>
      <c r="C307" s="558">
        <v>260000</v>
      </c>
      <c r="D307" s="558">
        <v>260000</v>
      </c>
      <c r="E307" s="558">
        <v>144788</v>
      </c>
      <c r="F307" s="97">
        <f t="shared" ref="F307:F309" si="65">H307-D307</f>
        <v>0</v>
      </c>
      <c r="G307" s="478">
        <f>SUM(H307/D307*100)</f>
        <v>100</v>
      </c>
      <c r="H307" s="374">
        <f>SUM('Kiadások részletes COFOG'!F523:F524)</f>
        <v>260000</v>
      </c>
      <c r="I307" s="762">
        <f t="shared" si="58"/>
        <v>55.687692307692302</v>
      </c>
      <c r="J307" s="69">
        <f t="shared" si="62"/>
        <v>115212</v>
      </c>
      <c r="M307" s="69"/>
    </row>
    <row r="308" spans="1:17" ht="24" customHeight="1" x14ac:dyDescent="0.2">
      <c r="A308" s="99" t="s">
        <v>198</v>
      </c>
      <c r="B308" s="77" t="s">
        <v>199</v>
      </c>
      <c r="C308" s="148">
        <v>0</v>
      </c>
      <c r="D308" s="148">
        <v>0</v>
      </c>
      <c r="E308" s="148"/>
      <c r="F308" s="97">
        <f t="shared" si="65"/>
        <v>0</v>
      </c>
      <c r="G308" s="370"/>
      <c r="H308" s="98">
        <f>'Kiadások részletes COFOG'!F525</f>
        <v>0</v>
      </c>
      <c r="I308" s="762"/>
    </row>
    <row r="309" spans="1:17" ht="24.75" customHeight="1" thickBot="1" x14ac:dyDescent="0.25">
      <c r="A309" s="79" t="s">
        <v>228</v>
      </c>
      <c r="B309" s="80" t="s">
        <v>269</v>
      </c>
      <c r="C309" s="148">
        <v>0</v>
      </c>
      <c r="D309" s="148">
        <v>0</v>
      </c>
      <c r="E309" s="148"/>
      <c r="F309" s="97">
        <f t="shared" si="65"/>
        <v>0</v>
      </c>
      <c r="G309" s="370"/>
      <c r="H309" s="559">
        <f>'Kiadások részletes COFOG'!F526</f>
        <v>0</v>
      </c>
      <c r="I309" s="762"/>
      <c r="N309" s="34"/>
    </row>
    <row r="310" spans="1:17" ht="21.75" customHeight="1" thickBot="1" x14ac:dyDescent="0.25">
      <c r="A310" s="897" t="s">
        <v>276</v>
      </c>
      <c r="B310" s="897"/>
      <c r="C310" s="152">
        <f>SUM(C303:C309)</f>
        <v>2240000</v>
      </c>
      <c r="D310" s="152">
        <f t="shared" ref="D310:E310" si="66">SUM(D303:D309)</f>
        <v>2240000</v>
      </c>
      <c r="E310" s="152">
        <f t="shared" si="66"/>
        <v>1382288</v>
      </c>
      <c r="F310" s="152">
        <f>SUM(F303:F309)</f>
        <v>0</v>
      </c>
      <c r="G310" s="371">
        <f>H310/D310*100</f>
        <v>100</v>
      </c>
      <c r="H310" s="151">
        <f>SUM(H303:H309)</f>
        <v>2240000</v>
      </c>
      <c r="I310" s="762"/>
    </row>
    <row r="311" spans="1:17" ht="24.75" customHeight="1" thickBot="1" x14ac:dyDescent="0.25">
      <c r="A311" s="872" t="s">
        <v>299</v>
      </c>
      <c r="B311" s="872"/>
      <c r="C311" s="872"/>
      <c r="D311" s="872"/>
      <c r="E311" s="872"/>
      <c r="F311" s="872"/>
      <c r="G311" s="872"/>
      <c r="H311" s="872"/>
      <c r="I311" s="762"/>
    </row>
    <row r="312" spans="1:17" ht="18.75" customHeight="1" thickBot="1" x14ac:dyDescent="0.25">
      <c r="A312" s="901" t="s">
        <v>45</v>
      </c>
      <c r="B312" s="896" t="s">
        <v>46</v>
      </c>
      <c r="C312" s="898">
        <v>2023</v>
      </c>
      <c r="D312" s="899"/>
      <c r="E312" s="899"/>
      <c r="F312" s="899"/>
      <c r="G312" s="899"/>
      <c r="H312" s="902"/>
      <c r="I312" s="762"/>
    </row>
    <row r="313" spans="1:17" ht="25.5" customHeight="1" thickBot="1" x14ac:dyDescent="0.25">
      <c r="A313" s="901"/>
      <c r="B313" s="896"/>
      <c r="C313" s="120" t="s">
        <v>47</v>
      </c>
      <c r="D313" s="120" t="s">
        <v>732</v>
      </c>
      <c r="E313" s="120" t="s">
        <v>746</v>
      </c>
      <c r="F313" s="120" t="s">
        <v>504</v>
      </c>
      <c r="G313" s="120" t="s">
        <v>380</v>
      </c>
      <c r="H313" s="384" t="s">
        <v>745</v>
      </c>
      <c r="I313" s="762"/>
    </row>
    <row r="314" spans="1:17" ht="21" customHeight="1" x14ac:dyDescent="0.2">
      <c r="A314" s="129" t="s">
        <v>167</v>
      </c>
      <c r="B314" s="130" t="s">
        <v>300</v>
      </c>
      <c r="C314" s="131">
        <v>116000</v>
      </c>
      <c r="D314" s="131">
        <v>2000000</v>
      </c>
      <c r="E314" s="131">
        <v>1965600</v>
      </c>
      <c r="F314" s="131">
        <f>H314-D314</f>
        <v>1344000</v>
      </c>
      <c r="G314" s="274">
        <f>SUM(H314/D314*100)</f>
        <v>167.2</v>
      </c>
      <c r="H314" s="132">
        <f>'Kiadások részletes COFOG'!F531</f>
        <v>3344000</v>
      </c>
      <c r="I314" s="762">
        <f t="shared" si="58"/>
        <v>58.779904306220097</v>
      </c>
      <c r="J314" s="69">
        <f t="shared" si="62"/>
        <v>1378400</v>
      </c>
    </row>
    <row r="315" spans="1:17" ht="21" customHeight="1" x14ac:dyDescent="0.2">
      <c r="A315" s="129" t="s">
        <v>194</v>
      </c>
      <c r="B315" s="130" t="s">
        <v>195</v>
      </c>
      <c r="C315" s="131">
        <v>0</v>
      </c>
      <c r="D315" s="131">
        <v>0</v>
      </c>
      <c r="E315" s="131">
        <v>0</v>
      </c>
      <c r="F315" s="131">
        <f>H315-D315</f>
        <v>0</v>
      </c>
      <c r="G315" s="274">
        <v>0</v>
      </c>
      <c r="H315" s="132">
        <v>0</v>
      </c>
      <c r="I315" s="762"/>
    </row>
    <row r="316" spans="1:17" ht="18.75" customHeight="1" x14ac:dyDescent="0.2">
      <c r="A316" s="129" t="s">
        <v>202</v>
      </c>
      <c r="B316" s="130" t="s">
        <v>301</v>
      </c>
      <c r="C316" s="131">
        <v>300000</v>
      </c>
      <c r="D316" s="131">
        <v>300000</v>
      </c>
      <c r="E316" s="131">
        <v>0</v>
      </c>
      <c r="F316" s="131">
        <f t="shared" ref="F316:F320" si="67">H316-D316</f>
        <v>0</v>
      </c>
      <c r="G316" s="274">
        <f t="shared" ref="G316:G320" si="68">SUM(H316/D316*100)</f>
        <v>100</v>
      </c>
      <c r="H316" s="132">
        <f>'Kiadások részletes COFOG'!F532</f>
        <v>300000</v>
      </c>
      <c r="I316" s="762">
        <f t="shared" si="58"/>
        <v>0</v>
      </c>
      <c r="J316" s="69">
        <f t="shared" si="62"/>
        <v>300000</v>
      </c>
    </row>
    <row r="317" spans="1:17" ht="18" customHeight="1" x14ac:dyDescent="0.2">
      <c r="A317" s="129" t="s">
        <v>210</v>
      </c>
      <c r="B317" s="130" t="s">
        <v>302</v>
      </c>
      <c r="C317" s="131">
        <v>113000</v>
      </c>
      <c r="D317" s="131">
        <v>600000</v>
      </c>
      <c r="E317" s="131">
        <v>530712</v>
      </c>
      <c r="F317" s="131">
        <f t="shared" si="67"/>
        <v>380000</v>
      </c>
      <c r="G317" s="274">
        <f t="shared" si="68"/>
        <v>163.33333333333334</v>
      </c>
      <c r="H317" s="132">
        <f>'Kiadások részletes COFOG'!F533</f>
        <v>980000</v>
      </c>
      <c r="I317" s="762">
        <f t="shared" si="58"/>
        <v>54.154285714285713</v>
      </c>
      <c r="J317" s="69">
        <f t="shared" si="62"/>
        <v>449288</v>
      </c>
    </row>
    <row r="318" spans="1:17" ht="18" customHeight="1" x14ac:dyDescent="0.2">
      <c r="A318" s="129" t="s">
        <v>452</v>
      </c>
      <c r="B318" s="130" t="s">
        <v>458</v>
      </c>
      <c r="C318" s="131">
        <v>0</v>
      </c>
      <c r="D318" s="131">
        <v>0</v>
      </c>
      <c r="E318" s="131">
        <v>0</v>
      </c>
      <c r="F318" s="131">
        <f t="shared" si="67"/>
        <v>0</v>
      </c>
      <c r="G318" s="274">
        <v>0</v>
      </c>
      <c r="H318" s="132">
        <f>'Kiadások részletes COFOG'!F534</f>
        <v>0</v>
      </c>
      <c r="I318" s="762"/>
    </row>
    <row r="319" spans="1:17" ht="24" customHeight="1" x14ac:dyDescent="0.2">
      <c r="A319" s="99" t="s">
        <v>452</v>
      </c>
      <c r="B319" s="77" t="s">
        <v>303</v>
      </c>
      <c r="C319" s="91">
        <v>6300000</v>
      </c>
      <c r="D319" s="83">
        <v>6300000</v>
      </c>
      <c r="E319" s="83">
        <v>5184000</v>
      </c>
      <c r="F319" s="131">
        <f t="shared" si="67"/>
        <v>0</v>
      </c>
      <c r="G319" s="274">
        <f t="shared" si="68"/>
        <v>100</v>
      </c>
      <c r="H319" s="92">
        <f>'Kiadások részletes COFOG'!F535</f>
        <v>6300000</v>
      </c>
      <c r="I319" s="762">
        <f t="shared" si="58"/>
        <v>82.285714285714278</v>
      </c>
      <c r="J319" s="69">
        <f t="shared" si="62"/>
        <v>1116000</v>
      </c>
    </row>
    <row r="320" spans="1:17" ht="21" customHeight="1" thickBot="1" x14ac:dyDescent="0.25">
      <c r="A320" s="79" t="s">
        <v>452</v>
      </c>
      <c r="B320" s="80" t="s">
        <v>298</v>
      </c>
      <c r="C320" s="83">
        <v>5500000</v>
      </c>
      <c r="D320" s="83">
        <v>5500000</v>
      </c>
      <c r="E320" s="83">
        <v>2635610</v>
      </c>
      <c r="F320" s="131">
        <f t="shared" si="67"/>
        <v>0</v>
      </c>
      <c r="G320" s="274">
        <f t="shared" si="68"/>
        <v>100</v>
      </c>
      <c r="H320" s="84">
        <f>'Kiadások részletes COFOG'!F537</f>
        <v>5500000</v>
      </c>
      <c r="I320" s="762">
        <f t="shared" si="58"/>
        <v>47.920181818181817</v>
      </c>
      <c r="J320" s="69">
        <f t="shared" si="62"/>
        <v>2864390</v>
      </c>
      <c r="O320" s="157"/>
      <c r="P320" s="157"/>
      <c r="Q320" s="156"/>
    </row>
    <row r="321" spans="1:17" ht="19.5" customHeight="1" thickBot="1" x14ac:dyDescent="0.25">
      <c r="A321" s="897" t="s">
        <v>276</v>
      </c>
      <c r="B321" s="897"/>
      <c r="C321" s="81">
        <f>SUM(C314:C320)</f>
        <v>12329000</v>
      </c>
      <c r="D321" s="81">
        <f t="shared" ref="D321:E321" si="69">SUM(D314:D320)</f>
        <v>14700000</v>
      </c>
      <c r="E321" s="81">
        <f t="shared" si="69"/>
        <v>10315922</v>
      </c>
      <c r="F321" s="81">
        <f>SUM(F314:F320)</f>
        <v>1724000</v>
      </c>
      <c r="G321" s="273">
        <f>H321/D321*100</f>
        <v>111.72789115646258</v>
      </c>
      <c r="H321" s="82">
        <f>SUM(H314:H320)</f>
        <v>16424000</v>
      </c>
      <c r="I321" s="762"/>
      <c r="O321" s="906"/>
      <c r="P321" s="906"/>
      <c r="Q321" s="156"/>
    </row>
    <row r="322" spans="1:17" ht="13.5" thickBot="1" x14ac:dyDescent="0.25">
      <c r="I322" s="762"/>
      <c r="O322" s="906"/>
      <c r="P322" s="906"/>
      <c r="Q322" s="156"/>
    </row>
    <row r="323" spans="1:17" ht="21.75" customHeight="1" thickBot="1" x14ac:dyDescent="0.25">
      <c r="A323" s="158" t="s">
        <v>304</v>
      </c>
      <c r="B323" s="348"/>
      <c r="C323" s="118">
        <f>C56+C71+C86+C99+C105+C111+C121+C130+C141+C149+C168+C197+C225+C230+C248+C253+C274+C288+C294+C299+C310+C321+C282+C160</f>
        <v>667551738</v>
      </c>
      <c r="D323" s="118">
        <f>D56+D71+D86+D99+D105+D111+D121+D130+D141+D149+D168+D197+D225+D230+D248+D253+D274+D288+D294+D299+D310+D321+D160+D282+D236</f>
        <v>688212242</v>
      </c>
      <c r="E323" s="118">
        <f>E56+E71+E86+E99+E105+E111+E121+E130+E141+E149+E168+E197+E225+E230+E248+E253+E274+E288+E294+E299+E310+E321+E160+E282+E236</f>
        <v>419812275</v>
      </c>
      <c r="F323" s="118">
        <f>F56+F71+F86+F99+F105+F111+F121+F130+F141+F149+F168+F197+F225+F230+F248+F253+F274+F288+F294+F299+F310+F321+F160+F282+F236</f>
        <v>42713299</v>
      </c>
      <c r="G323" s="815">
        <f>SUM(H323/D323*100)</f>
        <v>106.2064137185168</v>
      </c>
      <c r="H323" s="118">
        <f>H56+H71+H86+H99+H105+H111+H121+H130+H141+H149+H168+H197+H225+H230+H248+H253+H274+H288+H294+H299+H310+H321+H160+H282+H236</f>
        <v>730925541</v>
      </c>
      <c r="I323" s="762">
        <f t="shared" si="58"/>
        <v>57.435710130698524</v>
      </c>
      <c r="J323" s="69">
        <f t="shared" si="62"/>
        <v>311113266</v>
      </c>
      <c r="O323" s="903"/>
      <c r="P323" s="903"/>
      <c r="Q323" s="156"/>
    </row>
    <row r="324" spans="1:17" x14ac:dyDescent="0.2">
      <c r="Q324" s="156"/>
    </row>
    <row r="325" spans="1:17" x14ac:dyDescent="0.2">
      <c r="F325" s="71"/>
      <c r="G325" s="71"/>
      <c r="H325" s="412">
        <f>H323-'Kiadások részletes COFOG'!F547</f>
        <v>0</v>
      </c>
    </row>
    <row r="328" spans="1:17" x14ac:dyDescent="0.2">
      <c r="M328" s="69"/>
    </row>
    <row r="331" spans="1:17" x14ac:dyDescent="0.2">
      <c r="M331" s="69"/>
    </row>
    <row r="334" spans="1:17" x14ac:dyDescent="0.2">
      <c r="M334" s="69"/>
    </row>
    <row r="336" spans="1:17" x14ac:dyDescent="0.2">
      <c r="P336" s="69"/>
    </row>
    <row r="337" spans="13:16" x14ac:dyDescent="0.2">
      <c r="P337" s="69"/>
    </row>
    <row r="341" spans="13:16" x14ac:dyDescent="0.2">
      <c r="N341" s="69"/>
    </row>
    <row r="344" spans="13:16" x14ac:dyDescent="0.2">
      <c r="N344" s="69"/>
    </row>
    <row r="348" spans="13:16" x14ac:dyDescent="0.2">
      <c r="M348" s="69"/>
    </row>
    <row r="351" spans="13:16" x14ac:dyDescent="0.2">
      <c r="M351" s="69"/>
    </row>
    <row r="355" spans="16:16" x14ac:dyDescent="0.2">
      <c r="P355" s="69"/>
    </row>
  </sheetData>
  <autoFilter ref="A1:A341" xr:uid="{00000000-0009-0000-0000-000004000000}"/>
  <mergeCells count="141">
    <mergeCell ref="C276:H276"/>
    <mergeCell ref="C284:H284"/>
    <mergeCell ref="C301:H301"/>
    <mergeCell ref="C312:H312"/>
    <mergeCell ref="A2:H2"/>
    <mergeCell ref="A3:H3"/>
    <mergeCell ref="A5:H5"/>
    <mergeCell ref="A7:H7"/>
    <mergeCell ref="A8:A9"/>
    <mergeCell ref="B8:B9"/>
    <mergeCell ref="A71:B71"/>
    <mergeCell ref="A72:H72"/>
    <mergeCell ref="A73:A74"/>
    <mergeCell ref="B73:B74"/>
    <mergeCell ref="C73:H73"/>
    <mergeCell ref="A105:B105"/>
    <mergeCell ref="A106:H106"/>
    <mergeCell ref="A107:A108"/>
    <mergeCell ref="B107:B108"/>
    <mergeCell ref="A111:B111"/>
    <mergeCell ref="A112:H112"/>
    <mergeCell ref="A113:A114"/>
    <mergeCell ref="B113:B114"/>
    <mergeCell ref="C107:H107"/>
    <mergeCell ref="G1:H1"/>
    <mergeCell ref="A43:A44"/>
    <mergeCell ref="A17:B17"/>
    <mergeCell ref="A19:B19"/>
    <mergeCell ref="A38:B38"/>
    <mergeCell ref="C8:H8"/>
    <mergeCell ref="A56:B56"/>
    <mergeCell ref="A57:H57"/>
    <mergeCell ref="A58:A59"/>
    <mergeCell ref="B58:B59"/>
    <mergeCell ref="C58:H58"/>
    <mergeCell ref="A45:B45"/>
    <mergeCell ref="A50:B50"/>
    <mergeCell ref="A53:B53"/>
    <mergeCell ref="K82:L82"/>
    <mergeCell ref="A86:B86"/>
    <mergeCell ref="A87:H87"/>
    <mergeCell ref="A88:A89"/>
    <mergeCell ref="B88:B89"/>
    <mergeCell ref="A99:B99"/>
    <mergeCell ref="A100:H100"/>
    <mergeCell ref="A101:A102"/>
    <mergeCell ref="B101:B102"/>
    <mergeCell ref="C88:H88"/>
    <mergeCell ref="C101:H101"/>
    <mergeCell ref="C113:H113"/>
    <mergeCell ref="A121:B121"/>
    <mergeCell ref="A131:H131"/>
    <mergeCell ref="A132:A133"/>
    <mergeCell ref="B132:B133"/>
    <mergeCell ref="K139:L139"/>
    <mergeCell ref="A141:B141"/>
    <mergeCell ref="A142:H142"/>
    <mergeCell ref="A143:A144"/>
    <mergeCell ref="B143:B144"/>
    <mergeCell ref="A122:H122"/>
    <mergeCell ref="A123:A124"/>
    <mergeCell ref="B123:B124"/>
    <mergeCell ref="A130:B130"/>
    <mergeCell ref="C123:G123"/>
    <mergeCell ref="C132:H132"/>
    <mergeCell ref="C143:H143"/>
    <mergeCell ref="A149:B149"/>
    <mergeCell ref="A161:H161"/>
    <mergeCell ref="A162:A163"/>
    <mergeCell ref="B162:B163"/>
    <mergeCell ref="A168:B168"/>
    <mergeCell ref="A169:H169"/>
    <mergeCell ref="A170:A171"/>
    <mergeCell ref="B170:B171"/>
    <mergeCell ref="A150:H150"/>
    <mergeCell ref="A151:A152"/>
    <mergeCell ref="B151:B152"/>
    <mergeCell ref="A160:B160"/>
    <mergeCell ref="C151:H151"/>
    <mergeCell ref="C162:H162"/>
    <mergeCell ref="C170:H170"/>
    <mergeCell ref="A197:B197"/>
    <mergeCell ref="A198:H198"/>
    <mergeCell ref="A199:A200"/>
    <mergeCell ref="B199:B200"/>
    <mergeCell ref="A225:B225"/>
    <mergeCell ref="A226:H226"/>
    <mergeCell ref="A227:A228"/>
    <mergeCell ref="B227:B228"/>
    <mergeCell ref="C199:H199"/>
    <mergeCell ref="C227:H227"/>
    <mergeCell ref="A230:B230"/>
    <mergeCell ref="A237:H237"/>
    <mergeCell ref="A238:A239"/>
    <mergeCell ref="B238:B239"/>
    <mergeCell ref="A248:B248"/>
    <mergeCell ref="A249:H249"/>
    <mergeCell ref="A250:A251"/>
    <mergeCell ref="B250:B251"/>
    <mergeCell ref="A231:H231"/>
    <mergeCell ref="A232:A233"/>
    <mergeCell ref="B232:B233"/>
    <mergeCell ref="A236:B236"/>
    <mergeCell ref="C232:H232"/>
    <mergeCell ref="C238:H238"/>
    <mergeCell ref="C250:H250"/>
    <mergeCell ref="O323:P323"/>
    <mergeCell ref="A300:H300"/>
    <mergeCell ref="A301:A302"/>
    <mergeCell ref="B301:B302"/>
    <mergeCell ref="A310:B310"/>
    <mergeCell ref="A311:H311"/>
    <mergeCell ref="A312:A313"/>
    <mergeCell ref="B312:B313"/>
    <mergeCell ref="A321:B321"/>
    <mergeCell ref="O321:P321"/>
    <mergeCell ref="O322:P322"/>
    <mergeCell ref="B296:B297"/>
    <mergeCell ref="A299:B299"/>
    <mergeCell ref="C296:G296"/>
    <mergeCell ref="A253:B253"/>
    <mergeCell ref="A254:H254"/>
    <mergeCell ref="A255:A256"/>
    <mergeCell ref="B255:B256"/>
    <mergeCell ref="A274:B274"/>
    <mergeCell ref="A283:H283"/>
    <mergeCell ref="A284:A285"/>
    <mergeCell ref="B284:B285"/>
    <mergeCell ref="A288:B288"/>
    <mergeCell ref="A289:H289"/>
    <mergeCell ref="A290:A291"/>
    <mergeCell ref="B290:B291"/>
    <mergeCell ref="C290:G290"/>
    <mergeCell ref="A275:H275"/>
    <mergeCell ref="A282:B282"/>
    <mergeCell ref="A276:A277"/>
    <mergeCell ref="B276:B277"/>
    <mergeCell ref="A294:B294"/>
    <mergeCell ref="A295:H295"/>
    <mergeCell ref="A296:A297"/>
    <mergeCell ref="C255:H255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58" firstPageNumber="0" orientation="portrait" verticalDpi="300" r:id="rId1"/>
  <rowBreaks count="4" manualBreakCount="4">
    <brk id="56" max="16383" man="1"/>
    <brk id="105" max="5" man="1"/>
    <brk id="160" max="5" man="1"/>
    <brk id="225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66"/>
  <sheetViews>
    <sheetView topLeftCell="A22" zoomScale="112" zoomScaleNormal="112" workbookViewId="0">
      <selection activeCell="F105" sqref="F105"/>
    </sheetView>
  </sheetViews>
  <sheetFormatPr defaultRowHeight="12.75" x14ac:dyDescent="0.2"/>
  <cols>
    <col min="1" max="1" width="9.140625" customWidth="1"/>
    <col min="2" max="2" width="35.5703125" customWidth="1"/>
    <col min="3" max="3" width="13" customWidth="1"/>
    <col min="4" max="5" width="9.140625" customWidth="1"/>
    <col min="6" max="6" width="17.85546875" style="71" customWidth="1"/>
    <col min="7" max="7" width="13.140625" style="195" customWidth="1"/>
    <col min="8" max="8" width="14.42578125" style="434" bestFit="1" customWidth="1"/>
    <col min="9" max="9" width="12.85546875" style="451" customWidth="1"/>
    <col min="10" max="10" width="10.140625" bestFit="1" customWidth="1"/>
    <col min="11" max="11" width="12.85546875" customWidth="1"/>
    <col min="12" max="12" width="10.5703125" customWidth="1"/>
    <col min="13" max="13" width="9.140625" customWidth="1"/>
    <col min="14" max="14" width="10.140625" bestFit="1" customWidth="1"/>
    <col min="15" max="15" width="20.5703125" customWidth="1"/>
    <col min="16" max="1025" width="9.140625" customWidth="1"/>
  </cols>
  <sheetData>
    <row r="1" spans="1:10" ht="12" customHeight="1" x14ac:dyDescent="0.2">
      <c r="E1" s="996" t="s">
        <v>382</v>
      </c>
      <c r="F1" s="916"/>
    </row>
    <row r="2" spans="1:10" ht="12" customHeight="1" x14ac:dyDescent="0.2">
      <c r="E2" s="263"/>
      <c r="F2" s="144"/>
    </row>
    <row r="3" spans="1:10" ht="15.75" x14ac:dyDescent="0.25">
      <c r="A3" s="850" t="s">
        <v>747</v>
      </c>
      <c r="B3" s="850"/>
      <c r="C3" s="850"/>
      <c r="D3" s="850"/>
      <c r="E3" s="850"/>
      <c r="F3" s="850"/>
    </row>
    <row r="4" spans="1:10" ht="15.75" x14ac:dyDescent="0.25">
      <c r="A4" s="850" t="s">
        <v>386</v>
      </c>
      <c r="B4" s="850"/>
      <c r="C4" s="850"/>
      <c r="D4" s="850"/>
      <c r="E4" s="850"/>
      <c r="F4" s="850"/>
    </row>
    <row r="5" spans="1:10" ht="21.75" customHeight="1" x14ac:dyDescent="0.2">
      <c r="F5" s="72" t="s">
        <v>44</v>
      </c>
    </row>
    <row r="6" spans="1:10" ht="18" customHeight="1" x14ac:dyDescent="0.2">
      <c r="A6" s="997" t="s">
        <v>263</v>
      </c>
      <c r="B6" s="997"/>
      <c r="C6" s="997"/>
      <c r="D6" s="997"/>
      <c r="E6" s="997"/>
      <c r="F6" s="997"/>
      <c r="H6" s="435"/>
    </row>
    <row r="7" spans="1:10" s="34" customFormat="1" ht="18" customHeight="1" x14ac:dyDescent="0.2">
      <c r="A7" s="73"/>
      <c r="B7" s="73"/>
      <c r="C7" s="73"/>
      <c r="D7" s="73"/>
      <c r="E7" s="73"/>
      <c r="F7" s="73"/>
      <c r="G7" s="307"/>
      <c r="H7" s="436"/>
      <c r="I7" s="452"/>
    </row>
    <row r="8" spans="1:10" ht="23.25" customHeight="1" x14ac:dyDescent="0.2">
      <c r="A8" s="943" t="s">
        <v>112</v>
      </c>
      <c r="B8" s="943"/>
      <c r="C8" s="943"/>
      <c r="D8" s="943"/>
      <c r="E8" s="943"/>
      <c r="F8" s="943"/>
    </row>
    <row r="9" spans="1:10" ht="17.25" customHeight="1" x14ac:dyDescent="0.2">
      <c r="A9" s="929" t="s">
        <v>45</v>
      </c>
      <c r="B9" s="931" t="s">
        <v>46</v>
      </c>
      <c r="C9" s="932">
        <v>2023</v>
      </c>
      <c r="D9" s="932"/>
      <c r="E9" s="932"/>
      <c r="F9" s="932"/>
    </row>
    <row r="10" spans="1:10" ht="16.5" customHeight="1" x14ac:dyDescent="0.2">
      <c r="A10" s="929"/>
      <c r="B10" s="931"/>
      <c r="C10" s="933"/>
      <c r="D10" s="933"/>
      <c r="E10" s="933"/>
      <c r="F10" s="159" t="s">
        <v>748</v>
      </c>
      <c r="G10" s="160"/>
    </row>
    <row r="11" spans="1:10" ht="15" customHeight="1" thickBot="1" x14ac:dyDescent="0.25">
      <c r="A11" s="998" t="s">
        <v>139</v>
      </c>
      <c r="B11" s="975" t="s">
        <v>264</v>
      </c>
      <c r="C11" s="975"/>
      <c r="D11" s="975"/>
      <c r="E11" s="975"/>
      <c r="F11" s="975"/>
    </row>
    <row r="12" spans="1:10" ht="15" customHeight="1" thickBot="1" x14ac:dyDescent="0.25">
      <c r="A12" s="998"/>
      <c r="B12" s="77"/>
      <c r="C12" s="386"/>
      <c r="D12" s="387"/>
      <c r="E12" s="387"/>
      <c r="F12" s="187"/>
    </row>
    <row r="13" spans="1:10" ht="15" customHeight="1" thickBot="1" x14ac:dyDescent="0.25">
      <c r="A13" s="998"/>
      <c r="B13" s="77"/>
      <c r="C13" s="386"/>
      <c r="D13" s="387"/>
      <c r="E13" s="387"/>
      <c r="F13" s="187">
        <f>C13*D13</f>
        <v>0</v>
      </c>
      <c r="J13" s="96"/>
    </row>
    <row r="14" spans="1:10" ht="15" customHeight="1" x14ac:dyDescent="0.2">
      <c r="A14" s="998"/>
      <c r="B14" s="924" t="s">
        <v>305</v>
      </c>
      <c r="C14" s="924"/>
      <c r="D14" s="924"/>
      <c r="E14" s="924"/>
      <c r="F14" s="164">
        <v>4191257</v>
      </c>
    </row>
    <row r="15" spans="1:10" ht="15" customHeight="1" x14ac:dyDescent="0.2">
      <c r="A15" s="88" t="s">
        <v>149</v>
      </c>
      <c r="B15" s="925" t="s">
        <v>150</v>
      </c>
      <c r="C15" s="925"/>
      <c r="D15" s="925"/>
      <c r="E15" s="925"/>
      <c r="F15" s="925"/>
    </row>
    <row r="16" spans="1:10" ht="15" customHeight="1" x14ac:dyDescent="0.2">
      <c r="A16" s="165"/>
      <c r="B16" s="77" t="s">
        <v>669</v>
      </c>
      <c r="C16" s="91">
        <v>780000</v>
      </c>
      <c r="D16" s="162">
        <v>12</v>
      </c>
      <c r="E16" s="162" t="s">
        <v>306</v>
      </c>
      <c r="F16" s="163">
        <f t="shared" ref="F16:F24" si="0">SUM(C16*D16)</f>
        <v>9360000</v>
      </c>
    </row>
    <row r="17" spans="1:10" ht="15" customHeight="1" x14ac:dyDescent="0.2">
      <c r="A17" s="165"/>
      <c r="B17" s="77" t="s">
        <v>636</v>
      </c>
      <c r="C17" s="91">
        <v>117000</v>
      </c>
      <c r="D17" s="162">
        <v>12</v>
      </c>
      <c r="E17" s="162" t="s">
        <v>306</v>
      </c>
      <c r="F17" s="163">
        <f t="shared" si="0"/>
        <v>1404000</v>
      </c>
    </row>
    <row r="18" spans="1:10" ht="15" customHeight="1" x14ac:dyDescent="0.2">
      <c r="A18" s="165"/>
      <c r="B18" s="77" t="s">
        <v>665</v>
      </c>
      <c r="C18" s="91">
        <v>780000</v>
      </c>
      <c r="D18" s="162">
        <v>3</v>
      </c>
      <c r="E18" s="162" t="s">
        <v>307</v>
      </c>
      <c r="F18" s="163">
        <f t="shared" si="0"/>
        <v>2340000</v>
      </c>
    </row>
    <row r="19" spans="1:10" ht="15" customHeight="1" x14ac:dyDescent="0.2">
      <c r="A19" s="165"/>
      <c r="B19" s="77" t="s">
        <v>672</v>
      </c>
      <c r="C19" s="91">
        <v>300000</v>
      </c>
      <c r="D19" s="162">
        <v>1</v>
      </c>
      <c r="E19" s="162" t="s">
        <v>307</v>
      </c>
      <c r="F19" s="163">
        <f t="shared" si="0"/>
        <v>300000</v>
      </c>
    </row>
    <row r="20" spans="1:10" ht="15" customHeight="1" x14ac:dyDescent="0.2">
      <c r="A20" s="165"/>
      <c r="B20" s="77" t="s">
        <v>528</v>
      </c>
      <c r="C20" s="91">
        <v>434000</v>
      </c>
      <c r="D20" s="162">
        <v>12</v>
      </c>
      <c r="E20" s="162" t="s">
        <v>306</v>
      </c>
      <c r="F20" s="163">
        <f t="shared" si="0"/>
        <v>5208000</v>
      </c>
      <c r="H20" s="438"/>
    </row>
    <row r="21" spans="1:10" ht="15" customHeight="1" x14ac:dyDescent="0.2">
      <c r="A21" s="165"/>
      <c r="B21" s="77" t="s">
        <v>670</v>
      </c>
      <c r="C21" s="91">
        <v>190000</v>
      </c>
      <c r="D21" s="162">
        <v>12</v>
      </c>
      <c r="E21" s="162" t="s">
        <v>306</v>
      </c>
      <c r="F21" s="163">
        <f t="shared" si="0"/>
        <v>2280000</v>
      </c>
      <c r="J21" s="251"/>
    </row>
    <row r="22" spans="1:10" ht="15.75" customHeight="1" x14ac:dyDescent="0.2">
      <c r="A22" s="165"/>
      <c r="B22" s="77" t="s">
        <v>671</v>
      </c>
      <c r="C22" s="91">
        <v>28500</v>
      </c>
      <c r="D22" s="162">
        <v>12</v>
      </c>
      <c r="E22" s="162" t="s">
        <v>306</v>
      </c>
      <c r="F22" s="163">
        <f t="shared" si="0"/>
        <v>342000</v>
      </c>
      <c r="J22" s="251"/>
    </row>
    <row r="23" spans="1:10" ht="15" customHeight="1" x14ac:dyDescent="0.2">
      <c r="A23" s="87" t="s">
        <v>149</v>
      </c>
      <c r="B23" s="77" t="s">
        <v>308</v>
      </c>
      <c r="C23" s="91">
        <v>1000</v>
      </c>
      <c r="D23" s="162">
        <v>12</v>
      </c>
      <c r="E23" s="162" t="s">
        <v>306</v>
      </c>
      <c r="F23" s="163">
        <f t="shared" si="0"/>
        <v>12000</v>
      </c>
      <c r="J23" s="96"/>
    </row>
    <row r="24" spans="1:10" ht="15" customHeight="1" x14ac:dyDescent="0.2">
      <c r="A24" s="87"/>
      <c r="B24" s="77" t="s">
        <v>393</v>
      </c>
      <c r="C24" s="91">
        <v>5000</v>
      </c>
      <c r="D24" s="162">
        <v>12</v>
      </c>
      <c r="E24" s="162" t="s">
        <v>306</v>
      </c>
      <c r="F24" s="163">
        <f t="shared" si="0"/>
        <v>60000</v>
      </c>
      <c r="G24" s="177">
        <f>SUM(F16:F24)</f>
        <v>21306000</v>
      </c>
      <c r="J24" s="96"/>
    </row>
    <row r="25" spans="1:10" ht="15" customHeight="1" x14ac:dyDescent="0.2">
      <c r="A25" s="121"/>
      <c r="B25" s="924" t="s">
        <v>309</v>
      </c>
      <c r="C25" s="924"/>
      <c r="D25" s="924"/>
      <c r="E25" s="924"/>
      <c r="F25" s="164">
        <v>21310000</v>
      </c>
    </row>
    <row r="26" spans="1:10" ht="18.75" customHeight="1" x14ac:dyDescent="0.2">
      <c r="A26" s="876" t="s">
        <v>151</v>
      </c>
      <c r="B26" s="925" t="s">
        <v>152</v>
      </c>
      <c r="C26" s="925"/>
      <c r="D26" s="925"/>
      <c r="E26" s="925"/>
      <c r="F26" s="925"/>
    </row>
    <row r="27" spans="1:10" ht="18" customHeight="1" x14ac:dyDescent="0.2">
      <c r="A27" s="876"/>
      <c r="B27" s="77" t="s">
        <v>543</v>
      </c>
      <c r="C27" s="91">
        <v>15000</v>
      </c>
      <c r="D27" s="162">
        <v>12</v>
      </c>
      <c r="E27" s="162"/>
      <c r="F27" s="163">
        <f>SUM(C27*D27)</f>
        <v>180000</v>
      </c>
    </row>
    <row r="28" spans="1:10" ht="18" customHeight="1" x14ac:dyDescent="0.2">
      <c r="A28" s="876"/>
      <c r="B28" s="77" t="s">
        <v>542</v>
      </c>
      <c r="C28" s="91">
        <v>55000</v>
      </c>
      <c r="D28" s="162">
        <v>12</v>
      </c>
      <c r="E28" s="162"/>
      <c r="F28" s="163">
        <f>SUM(C28*D28)</f>
        <v>660000</v>
      </c>
    </row>
    <row r="29" spans="1:10" ht="18" customHeight="1" x14ac:dyDescent="0.2">
      <c r="A29" s="876"/>
      <c r="B29" s="77" t="s">
        <v>397</v>
      </c>
      <c r="C29" s="91">
        <v>18000</v>
      </c>
      <c r="D29" s="162">
        <v>12</v>
      </c>
      <c r="E29" s="162"/>
      <c r="F29" s="163">
        <f>SUM(C29*D29)</f>
        <v>216000</v>
      </c>
    </row>
    <row r="30" spans="1:10" ht="18" customHeight="1" x14ac:dyDescent="0.2">
      <c r="A30" s="876"/>
      <c r="B30" s="77" t="s">
        <v>637</v>
      </c>
      <c r="C30" s="91"/>
      <c r="D30" s="162"/>
      <c r="E30" s="162"/>
      <c r="F30" s="163">
        <v>744000</v>
      </c>
    </row>
    <row r="31" spans="1:10" ht="15.75" customHeight="1" x14ac:dyDescent="0.2">
      <c r="A31" s="876"/>
      <c r="B31" s="924" t="s">
        <v>310</v>
      </c>
      <c r="C31" s="924"/>
      <c r="D31" s="924"/>
      <c r="E31" s="924"/>
      <c r="F31" s="164">
        <f>SUM(F27:F30)</f>
        <v>1800000</v>
      </c>
      <c r="H31" s="437"/>
    </row>
    <row r="32" spans="1:10" ht="15" customHeight="1" x14ac:dyDescent="0.2">
      <c r="A32" s="99" t="s">
        <v>395</v>
      </c>
      <c r="B32" s="924" t="s">
        <v>154</v>
      </c>
      <c r="C32" s="924"/>
      <c r="D32" s="924"/>
      <c r="E32" s="924"/>
      <c r="F32" s="164">
        <v>1700000</v>
      </c>
    </row>
    <row r="33" spans="1:11" ht="15" customHeight="1" x14ac:dyDescent="0.2">
      <c r="A33" s="999" t="s">
        <v>311</v>
      </c>
      <c r="B33" s="77" t="s">
        <v>312</v>
      </c>
      <c r="C33" s="91">
        <f>F14+F25+F31+F32</f>
        <v>29001257</v>
      </c>
      <c r="D33" s="167">
        <v>0.13</v>
      </c>
      <c r="E33" s="572"/>
      <c r="F33" s="163">
        <f>SUM(C33*D33)</f>
        <v>3770163.41</v>
      </c>
      <c r="G33" s="177"/>
      <c r="H33" s="437"/>
    </row>
    <row r="34" spans="1:11" ht="15" customHeight="1" x14ac:dyDescent="0.2">
      <c r="A34" s="999"/>
      <c r="B34" s="77" t="s">
        <v>622</v>
      </c>
      <c r="C34" s="91">
        <f>SUM(F32)</f>
        <v>1700000</v>
      </c>
      <c r="D34" s="167">
        <v>0.15</v>
      </c>
      <c r="E34" s="572"/>
      <c r="F34" s="163">
        <f>SUM(C34*D34)</f>
        <v>255000</v>
      </c>
      <c r="G34" s="177"/>
      <c r="H34" s="437"/>
    </row>
    <row r="35" spans="1:11" ht="15" customHeight="1" x14ac:dyDescent="0.2">
      <c r="A35" s="999"/>
      <c r="B35" s="77"/>
      <c r="C35" s="91"/>
      <c r="D35" s="167"/>
      <c r="F35" s="163"/>
      <c r="G35" s="177">
        <f>SUM(F33:F35)</f>
        <v>4025163.41</v>
      </c>
      <c r="H35" s="437"/>
    </row>
    <row r="36" spans="1:11" ht="15.75" customHeight="1" x14ac:dyDescent="0.2">
      <c r="A36" s="999"/>
      <c r="B36" s="924" t="s">
        <v>313</v>
      </c>
      <c r="C36" s="924"/>
      <c r="D36" s="924"/>
      <c r="E36" s="924"/>
      <c r="F36" s="164">
        <v>4000000</v>
      </c>
      <c r="G36" s="177"/>
    </row>
    <row r="37" spans="1:11" ht="15" customHeight="1" x14ac:dyDescent="0.2">
      <c r="A37" s="949" t="s">
        <v>159</v>
      </c>
      <c r="B37" s="77" t="s">
        <v>551</v>
      </c>
      <c r="C37" s="91">
        <v>1800</v>
      </c>
      <c r="D37" s="172">
        <v>0.05</v>
      </c>
      <c r="E37" s="162">
        <v>4</v>
      </c>
      <c r="F37" s="163">
        <f>SUM(C37*E37)</f>
        <v>7200</v>
      </c>
      <c r="G37" s="432"/>
      <c r="H37" s="439">
        <v>0.05</v>
      </c>
      <c r="I37" s="459">
        <f>SUM(F37*H37)</f>
        <v>360</v>
      </c>
      <c r="J37" s="433"/>
      <c r="K37" s="213"/>
    </row>
    <row r="38" spans="1:11" ht="15" customHeight="1" x14ac:dyDescent="0.2">
      <c r="A38" s="942"/>
      <c r="B38" s="77" t="s">
        <v>553</v>
      </c>
      <c r="C38" s="91">
        <v>40000</v>
      </c>
      <c r="D38" s="172">
        <v>0.05</v>
      </c>
      <c r="E38" s="162">
        <v>4</v>
      </c>
      <c r="F38" s="163">
        <f>SUM(C38*E38)</f>
        <v>160000</v>
      </c>
      <c r="G38" s="432"/>
      <c r="H38" s="439">
        <v>0.05</v>
      </c>
      <c r="I38" s="459">
        <f>SUM(F38*H38)</f>
        <v>8000</v>
      </c>
      <c r="J38" s="433"/>
      <c r="K38" s="213"/>
    </row>
    <row r="39" spans="1:11" ht="15" customHeight="1" x14ac:dyDescent="0.2">
      <c r="A39" s="942"/>
      <c r="B39" s="77" t="s">
        <v>552</v>
      </c>
      <c r="C39" s="91"/>
      <c r="D39" s="172">
        <v>0.05</v>
      </c>
      <c r="E39" s="91"/>
      <c r="F39" s="163">
        <v>32800</v>
      </c>
      <c r="G39" s="432"/>
      <c r="H39" s="439">
        <v>0.05</v>
      </c>
      <c r="I39" s="459">
        <f t="shared" ref="I39:I89" si="1">SUM(F39*H39)</f>
        <v>1640</v>
      </c>
      <c r="J39" s="433"/>
      <c r="K39" s="213"/>
    </row>
    <row r="40" spans="1:11" ht="15" customHeight="1" x14ac:dyDescent="0.2">
      <c r="A40" s="950"/>
      <c r="B40" s="924" t="s">
        <v>314</v>
      </c>
      <c r="C40" s="924"/>
      <c r="D40" s="924"/>
      <c r="E40" s="924"/>
      <c r="F40" s="164">
        <f>SUM(F37:F39)</f>
        <v>200000</v>
      </c>
      <c r="G40" s="432"/>
      <c r="H40" s="439"/>
      <c r="I40" s="459"/>
      <c r="J40" s="433"/>
      <c r="K40" s="213"/>
    </row>
    <row r="41" spans="1:11" ht="15" customHeight="1" x14ac:dyDescent="0.2">
      <c r="A41" s="949" t="s">
        <v>167</v>
      </c>
      <c r="B41" s="77" t="s">
        <v>583</v>
      </c>
      <c r="C41" s="91"/>
      <c r="D41" s="168">
        <v>0.27</v>
      </c>
      <c r="E41" s="162"/>
      <c r="F41" s="163">
        <v>400000</v>
      </c>
      <c r="G41" s="195" t="s">
        <v>576</v>
      </c>
      <c r="H41" s="434">
        <v>0.27</v>
      </c>
      <c r="I41" s="459">
        <f t="shared" si="1"/>
        <v>108000</v>
      </c>
    </row>
    <row r="42" spans="1:11" ht="15" customHeight="1" x14ac:dyDescent="0.2">
      <c r="A42" s="942"/>
      <c r="B42" s="169" t="s">
        <v>315</v>
      </c>
      <c r="C42" s="91"/>
      <c r="D42" s="168">
        <v>0.27</v>
      </c>
      <c r="E42" s="91"/>
      <c r="F42" s="163">
        <v>500000</v>
      </c>
      <c r="H42" s="439">
        <v>0.27</v>
      </c>
      <c r="I42" s="459">
        <f>SUM(F42*H42)</f>
        <v>135000</v>
      </c>
    </row>
    <row r="43" spans="1:11" ht="15" customHeight="1" x14ac:dyDescent="0.2">
      <c r="A43" s="942"/>
      <c r="B43" s="169" t="s">
        <v>172</v>
      </c>
      <c r="C43" s="91"/>
      <c r="D43" s="168">
        <v>0.27</v>
      </c>
      <c r="E43" s="91"/>
      <c r="F43" s="163">
        <v>400000</v>
      </c>
      <c r="H43" s="439">
        <v>0.27</v>
      </c>
      <c r="I43" s="459">
        <f>SUM(F43*H43)</f>
        <v>108000</v>
      </c>
    </row>
    <row r="44" spans="1:11" ht="15" customHeight="1" x14ac:dyDescent="0.2">
      <c r="A44" s="942"/>
      <c r="B44" s="169" t="s">
        <v>554</v>
      </c>
      <c r="C44" s="91"/>
      <c r="D44" s="168">
        <v>0.27</v>
      </c>
      <c r="E44" s="91"/>
      <c r="F44" s="163">
        <v>700000</v>
      </c>
      <c r="H44" s="439">
        <v>0.27</v>
      </c>
      <c r="I44" s="459">
        <f t="shared" si="1"/>
        <v>189000</v>
      </c>
    </row>
    <row r="45" spans="1:11" ht="15" customHeight="1" x14ac:dyDescent="0.2">
      <c r="A45" s="950"/>
      <c r="B45" s="948" t="s">
        <v>317</v>
      </c>
      <c r="C45" s="948"/>
      <c r="D45" s="948"/>
      <c r="E45" s="948"/>
      <c r="F45" s="164">
        <f>SUM(F41:F44)</f>
        <v>2000000</v>
      </c>
      <c r="I45" s="459">
        <f t="shared" si="1"/>
        <v>0</v>
      </c>
    </row>
    <row r="46" spans="1:11" ht="15" customHeight="1" x14ac:dyDescent="0.2">
      <c r="A46" s="977" t="s">
        <v>181</v>
      </c>
      <c r="B46" s="77" t="s">
        <v>555</v>
      </c>
      <c r="C46" s="91">
        <v>150000</v>
      </c>
      <c r="D46" s="172"/>
      <c r="E46" s="91">
        <v>12</v>
      </c>
      <c r="F46" s="163">
        <f>SUM(C46*E46)</f>
        <v>1800000</v>
      </c>
      <c r="H46" s="434" t="s">
        <v>557</v>
      </c>
      <c r="I46" s="459"/>
    </row>
    <row r="47" spans="1:11" ht="15" customHeight="1" x14ac:dyDescent="0.2">
      <c r="A47" s="978"/>
      <c r="B47" s="77" t="s">
        <v>556</v>
      </c>
      <c r="C47" s="91">
        <v>4400</v>
      </c>
      <c r="D47" s="172">
        <v>0.27</v>
      </c>
      <c r="E47" s="91">
        <v>12</v>
      </c>
      <c r="F47" s="163">
        <v>60000</v>
      </c>
      <c r="H47" s="434">
        <v>0.27</v>
      </c>
      <c r="I47" s="459">
        <f t="shared" si="1"/>
        <v>16200.000000000002</v>
      </c>
    </row>
    <row r="48" spans="1:11" ht="15" customHeight="1" x14ac:dyDescent="0.2">
      <c r="A48" s="978"/>
      <c r="B48" s="77" t="s">
        <v>558</v>
      </c>
      <c r="C48" s="91">
        <v>15000</v>
      </c>
      <c r="D48" s="172">
        <v>0.05</v>
      </c>
      <c r="E48" s="91">
        <v>12</v>
      </c>
      <c r="F48" s="163">
        <f>SUM(C48*E48)</f>
        <v>180000</v>
      </c>
      <c r="H48" s="434">
        <v>0.05</v>
      </c>
      <c r="I48" s="459">
        <f t="shared" si="1"/>
        <v>9000</v>
      </c>
    </row>
    <row r="49" spans="1:9" ht="15" customHeight="1" x14ac:dyDescent="0.2">
      <c r="A49" s="979"/>
      <c r="B49" s="948" t="s">
        <v>318</v>
      </c>
      <c r="C49" s="948"/>
      <c r="D49" s="948">
        <v>0.05</v>
      </c>
      <c r="E49" s="948"/>
      <c r="F49" s="164">
        <f>SUM(F46:F48)</f>
        <v>2040000</v>
      </c>
      <c r="I49" s="459"/>
    </row>
    <row r="50" spans="1:9" ht="15" customHeight="1" x14ac:dyDescent="0.2">
      <c r="A50" s="977" t="s">
        <v>182</v>
      </c>
      <c r="B50" s="77" t="s">
        <v>559</v>
      </c>
      <c r="C50" s="91">
        <v>22000</v>
      </c>
      <c r="D50" s="172">
        <v>0.27</v>
      </c>
      <c r="E50" s="91">
        <v>12</v>
      </c>
      <c r="F50" s="163">
        <f>SUM(C50*E50)</f>
        <v>264000</v>
      </c>
      <c r="H50" s="434">
        <v>0.27</v>
      </c>
      <c r="I50" s="459">
        <f t="shared" si="1"/>
        <v>71280</v>
      </c>
    </row>
    <row r="51" spans="1:9" ht="15" customHeight="1" x14ac:dyDescent="0.2">
      <c r="A51" s="979"/>
      <c r="B51" s="948" t="s">
        <v>183</v>
      </c>
      <c r="C51" s="948"/>
      <c r="D51" s="948">
        <v>0.27</v>
      </c>
      <c r="E51" s="948"/>
      <c r="F51" s="164">
        <f>SUM(F50)</f>
        <v>264000</v>
      </c>
      <c r="I51" s="459"/>
    </row>
    <row r="52" spans="1:9" ht="15" customHeight="1" x14ac:dyDescent="0.2">
      <c r="A52" s="76" t="s">
        <v>186</v>
      </c>
      <c r="B52" s="77" t="s">
        <v>265</v>
      </c>
      <c r="C52" s="91">
        <v>35000</v>
      </c>
      <c r="D52" s="172">
        <v>0.27</v>
      </c>
      <c r="E52" s="91">
        <v>12</v>
      </c>
      <c r="F52" s="163">
        <f>SUM(C52*E52)</f>
        <v>420000</v>
      </c>
      <c r="H52" s="434">
        <v>0.27</v>
      </c>
      <c r="I52" s="459">
        <f t="shared" si="1"/>
        <v>113400.00000000001</v>
      </c>
    </row>
    <row r="53" spans="1:9" ht="15" customHeight="1" x14ac:dyDescent="0.2">
      <c r="A53" s="76" t="s">
        <v>188</v>
      </c>
      <c r="B53" s="77" t="s">
        <v>266</v>
      </c>
      <c r="C53" s="91">
        <v>200000</v>
      </c>
      <c r="D53" s="172">
        <v>0.27</v>
      </c>
      <c r="E53" s="91">
        <v>12</v>
      </c>
      <c r="F53" s="163">
        <f>SUM(C53*E53)</f>
        <v>2400000</v>
      </c>
      <c r="H53" s="434">
        <v>0.27</v>
      </c>
      <c r="I53" s="459">
        <f t="shared" si="1"/>
        <v>648000</v>
      </c>
    </row>
    <row r="54" spans="1:9" ht="15" customHeight="1" x14ac:dyDescent="0.2">
      <c r="A54" s="99" t="s">
        <v>396</v>
      </c>
      <c r="B54" s="176" t="s">
        <v>277</v>
      </c>
      <c r="C54" s="336">
        <v>10000</v>
      </c>
      <c r="D54" s="172">
        <v>0.27</v>
      </c>
      <c r="E54" s="336">
        <v>12</v>
      </c>
      <c r="F54" s="163">
        <f>SUM(C54*E54)</f>
        <v>120000</v>
      </c>
      <c r="H54" s="434">
        <v>0.27</v>
      </c>
      <c r="I54" s="459">
        <f t="shared" si="1"/>
        <v>32400.000000000004</v>
      </c>
    </row>
    <row r="55" spans="1:9" ht="15" customHeight="1" x14ac:dyDescent="0.2">
      <c r="A55" s="99" t="s">
        <v>184</v>
      </c>
      <c r="B55" s="948" t="s">
        <v>285</v>
      </c>
      <c r="C55" s="948"/>
      <c r="D55" s="948"/>
      <c r="E55" s="948"/>
      <c r="F55" s="164">
        <f>SUM(F52:F54)</f>
        <v>2940000</v>
      </c>
      <c r="I55" s="459"/>
    </row>
    <row r="56" spans="1:9" ht="15.95" customHeight="1" x14ac:dyDescent="0.2">
      <c r="A56" s="970" t="s">
        <v>194</v>
      </c>
      <c r="B56" s="77" t="s">
        <v>560</v>
      </c>
      <c r="C56" s="91">
        <v>8500</v>
      </c>
      <c r="D56" s="172">
        <v>0.27</v>
      </c>
      <c r="E56" s="91">
        <v>12</v>
      </c>
      <c r="F56" s="163">
        <f>SUM(C56*E56)</f>
        <v>102000</v>
      </c>
      <c r="H56" s="434">
        <v>0.27</v>
      </c>
      <c r="I56" s="459">
        <f t="shared" si="1"/>
        <v>27540</v>
      </c>
    </row>
    <row r="57" spans="1:9" ht="15.95" customHeight="1" x14ac:dyDescent="0.2">
      <c r="A57" s="970"/>
      <c r="B57" s="77" t="s">
        <v>561</v>
      </c>
      <c r="C57" s="91">
        <v>8100</v>
      </c>
      <c r="D57" s="172">
        <v>0.27</v>
      </c>
      <c r="E57" s="91">
        <v>4</v>
      </c>
      <c r="F57" s="163">
        <f>SUM(C57*E57)</f>
        <v>32400</v>
      </c>
      <c r="H57" s="434">
        <v>0.27</v>
      </c>
      <c r="I57" s="459">
        <f t="shared" si="1"/>
        <v>8748</v>
      </c>
    </row>
    <row r="58" spans="1:9" ht="15.95" customHeight="1" x14ac:dyDescent="0.2">
      <c r="A58" s="970"/>
      <c r="B58" s="77" t="s">
        <v>562</v>
      </c>
      <c r="C58" s="91"/>
      <c r="D58" s="172"/>
      <c r="E58" s="91"/>
      <c r="F58" s="163">
        <v>15600</v>
      </c>
      <c r="H58" s="434">
        <v>0.27</v>
      </c>
      <c r="I58" s="459">
        <f t="shared" si="1"/>
        <v>4212</v>
      </c>
    </row>
    <row r="59" spans="1:9" ht="15.95" customHeight="1" x14ac:dyDescent="0.2">
      <c r="A59" s="970"/>
      <c r="B59" s="924" t="s">
        <v>319</v>
      </c>
      <c r="C59" s="924"/>
      <c r="D59" s="924"/>
      <c r="E59" s="924"/>
      <c r="F59" s="164">
        <f>SUM(F56:F58)</f>
        <v>150000</v>
      </c>
      <c r="I59" s="459">
        <f t="shared" si="1"/>
        <v>0</v>
      </c>
    </row>
    <row r="60" spans="1:9" ht="15.95" customHeight="1" x14ac:dyDescent="0.2">
      <c r="A60" s="977" t="s">
        <v>196</v>
      </c>
      <c r="B60" s="77" t="s">
        <v>563</v>
      </c>
      <c r="C60" s="175">
        <v>30000</v>
      </c>
      <c r="D60" s="172">
        <v>0.27</v>
      </c>
      <c r="E60" s="175">
        <v>12</v>
      </c>
      <c r="F60" s="163">
        <f>SUM(C60*E60)</f>
        <v>360000</v>
      </c>
      <c r="H60" s="434">
        <v>0.27</v>
      </c>
      <c r="I60" s="459">
        <f t="shared" si="1"/>
        <v>97200</v>
      </c>
    </row>
    <row r="61" spans="1:9" ht="15.95" customHeight="1" x14ac:dyDescent="0.2">
      <c r="A61" s="978"/>
      <c r="B61" s="77" t="s">
        <v>564</v>
      </c>
      <c r="C61" s="175"/>
      <c r="D61" s="172"/>
      <c r="E61" s="175"/>
      <c r="F61" s="163">
        <v>200000</v>
      </c>
      <c r="H61" s="434">
        <v>0.27</v>
      </c>
      <c r="I61" s="459">
        <f t="shared" si="1"/>
        <v>54000</v>
      </c>
    </row>
    <row r="62" spans="1:9" ht="15.95" customHeight="1" x14ac:dyDescent="0.2">
      <c r="A62" s="978"/>
      <c r="B62" s="77" t="s">
        <v>584</v>
      </c>
      <c r="C62" s="175"/>
      <c r="D62" s="172"/>
      <c r="E62" s="175"/>
      <c r="F62" s="163">
        <v>250000</v>
      </c>
      <c r="H62" s="434">
        <v>0.27</v>
      </c>
      <c r="I62" s="459">
        <f t="shared" si="1"/>
        <v>67500</v>
      </c>
    </row>
    <row r="63" spans="1:9" ht="15.95" customHeight="1" x14ac:dyDescent="0.2">
      <c r="A63" s="979"/>
      <c r="B63" s="924" t="s">
        <v>197</v>
      </c>
      <c r="C63" s="924" t="s">
        <v>398</v>
      </c>
      <c r="D63" s="924">
        <v>0.27</v>
      </c>
      <c r="E63" s="924"/>
      <c r="F63" s="164">
        <f>SUM(F60:F62)</f>
        <v>810000</v>
      </c>
      <c r="I63" s="459"/>
    </row>
    <row r="64" spans="1:9" ht="15.95" customHeight="1" x14ac:dyDescent="0.2">
      <c r="A64" s="977">
        <v>53351</v>
      </c>
      <c r="B64" s="77" t="s">
        <v>638</v>
      </c>
      <c r="C64" s="175"/>
      <c r="D64" s="172"/>
      <c r="E64" s="175"/>
      <c r="F64" s="163">
        <v>400000</v>
      </c>
      <c r="H64" s="434">
        <v>0.27</v>
      </c>
      <c r="I64" s="459">
        <f t="shared" si="1"/>
        <v>108000</v>
      </c>
    </row>
    <row r="65" spans="1:9" ht="15.95" customHeight="1" x14ac:dyDescent="0.2">
      <c r="A65" s="978"/>
      <c r="B65" s="77" t="s">
        <v>639</v>
      </c>
      <c r="C65" s="175"/>
      <c r="D65" s="172"/>
      <c r="E65" s="175"/>
      <c r="F65" s="163">
        <v>30000</v>
      </c>
      <c r="H65" s="434">
        <v>0.27</v>
      </c>
      <c r="I65" s="459">
        <f t="shared" si="1"/>
        <v>8100.0000000000009</v>
      </c>
    </row>
    <row r="66" spans="1:9" ht="15.95" customHeight="1" x14ac:dyDescent="0.2">
      <c r="A66" s="978"/>
      <c r="B66" s="77" t="s">
        <v>640</v>
      </c>
      <c r="C66" s="175"/>
      <c r="D66" s="172"/>
      <c r="E66" s="175"/>
      <c r="F66" s="163">
        <v>300000</v>
      </c>
      <c r="H66" s="434">
        <v>0.27</v>
      </c>
      <c r="I66" s="459">
        <f t="shared" si="1"/>
        <v>81000</v>
      </c>
    </row>
    <row r="67" spans="1:9" ht="15.95" customHeight="1" x14ac:dyDescent="0.2">
      <c r="A67" s="978"/>
      <c r="B67" s="77" t="s">
        <v>641</v>
      </c>
      <c r="C67" s="175"/>
      <c r="D67" s="172"/>
      <c r="E67" s="175"/>
      <c r="F67" s="163">
        <v>200000</v>
      </c>
      <c r="H67" s="434">
        <v>0.27</v>
      </c>
      <c r="I67" s="459">
        <f t="shared" si="1"/>
        <v>54000</v>
      </c>
    </row>
    <row r="68" spans="1:9" ht="15.95" customHeight="1" x14ac:dyDescent="0.2">
      <c r="A68" s="978"/>
      <c r="B68" s="77" t="s">
        <v>642</v>
      </c>
      <c r="C68" s="175"/>
      <c r="D68" s="172"/>
      <c r="E68" s="175"/>
      <c r="F68" s="163">
        <v>450000</v>
      </c>
      <c r="H68" s="434">
        <v>0.27</v>
      </c>
      <c r="I68" s="459">
        <f t="shared" si="1"/>
        <v>121500.00000000001</v>
      </c>
    </row>
    <row r="69" spans="1:9" ht="15.95" customHeight="1" x14ac:dyDescent="0.2">
      <c r="A69" s="978"/>
      <c r="B69" s="77" t="s">
        <v>643</v>
      </c>
      <c r="C69" s="175"/>
      <c r="D69" s="172"/>
      <c r="E69" s="175"/>
      <c r="F69" s="163">
        <v>160000</v>
      </c>
      <c r="H69" s="434">
        <v>0.27</v>
      </c>
      <c r="I69" s="459">
        <f t="shared" si="1"/>
        <v>43200</v>
      </c>
    </row>
    <row r="70" spans="1:9" ht="15.95" customHeight="1" x14ac:dyDescent="0.2">
      <c r="A70" s="978"/>
      <c r="B70" s="77" t="s">
        <v>644</v>
      </c>
      <c r="C70" s="175"/>
      <c r="D70" s="172"/>
      <c r="E70" s="175"/>
      <c r="F70" s="163">
        <v>600000</v>
      </c>
      <c r="H70" s="434">
        <v>0.27</v>
      </c>
      <c r="I70" s="459">
        <f t="shared" si="1"/>
        <v>162000</v>
      </c>
    </row>
    <row r="71" spans="1:9" ht="15.95" customHeight="1" x14ac:dyDescent="0.2">
      <c r="A71" s="978"/>
      <c r="B71" s="77" t="s">
        <v>675</v>
      </c>
      <c r="C71" s="175"/>
      <c r="D71" s="464"/>
      <c r="E71" s="175"/>
      <c r="F71" s="163">
        <v>400000</v>
      </c>
      <c r="H71" s="434">
        <v>0.27</v>
      </c>
      <c r="I71" s="459">
        <f t="shared" si="1"/>
        <v>108000</v>
      </c>
    </row>
    <row r="72" spans="1:9" ht="15.95" customHeight="1" x14ac:dyDescent="0.2">
      <c r="A72" s="978"/>
      <c r="B72" s="77" t="s">
        <v>676</v>
      </c>
      <c r="C72" s="175"/>
      <c r="D72" s="464"/>
      <c r="E72" s="175"/>
      <c r="F72" s="163">
        <v>120000</v>
      </c>
      <c r="H72" s="434">
        <v>1.27</v>
      </c>
      <c r="I72" s="459">
        <f t="shared" ref="I72:I73" si="2">SUM(F72*H72)</f>
        <v>152400</v>
      </c>
    </row>
    <row r="73" spans="1:9" ht="15.95" customHeight="1" x14ac:dyDescent="0.2">
      <c r="A73" s="978"/>
      <c r="B73" s="77"/>
      <c r="C73" s="175"/>
      <c r="D73" s="464"/>
      <c r="E73" s="175"/>
      <c r="F73" s="163">
        <v>340000</v>
      </c>
      <c r="H73" s="434">
        <v>2.27</v>
      </c>
      <c r="I73" s="459">
        <f t="shared" si="2"/>
        <v>771800</v>
      </c>
    </row>
    <row r="74" spans="1:9" ht="15.95" customHeight="1" x14ac:dyDescent="0.2">
      <c r="A74" s="979"/>
      <c r="B74" s="924" t="s">
        <v>391</v>
      </c>
      <c r="C74" s="924" t="s">
        <v>399</v>
      </c>
      <c r="D74" s="924">
        <v>0.27</v>
      </c>
      <c r="E74" s="924"/>
      <c r="F74" s="164">
        <v>3700000</v>
      </c>
      <c r="I74" s="459"/>
    </row>
    <row r="75" spans="1:9" ht="15" customHeight="1" x14ac:dyDescent="0.2">
      <c r="A75" s="942" t="s">
        <v>198</v>
      </c>
      <c r="B75" s="169" t="s">
        <v>320</v>
      </c>
      <c r="C75" s="91">
        <v>324000</v>
      </c>
      <c r="D75" s="172">
        <v>0</v>
      </c>
      <c r="E75" s="91">
        <v>4</v>
      </c>
      <c r="F75" s="163">
        <v>1674000</v>
      </c>
      <c r="H75" s="434">
        <v>0</v>
      </c>
      <c r="I75" s="459">
        <f>SUM(F75*H75)</f>
        <v>0</v>
      </c>
    </row>
    <row r="76" spans="1:9" ht="15" customHeight="1" x14ac:dyDescent="0.2">
      <c r="A76" s="942"/>
      <c r="B76" s="173" t="s">
        <v>645</v>
      </c>
      <c r="C76" s="91">
        <v>240000</v>
      </c>
      <c r="D76" s="172">
        <v>0.27</v>
      </c>
      <c r="E76" s="91">
        <v>4</v>
      </c>
      <c r="F76" s="163">
        <f>SUM(C76*E76)</f>
        <v>960000</v>
      </c>
      <c r="H76" s="434">
        <v>0.27</v>
      </c>
      <c r="I76" s="459">
        <f t="shared" si="1"/>
        <v>259200.00000000003</v>
      </c>
    </row>
    <row r="77" spans="1:9" ht="15" customHeight="1" x14ac:dyDescent="0.2">
      <c r="A77" s="942"/>
      <c r="B77" s="173" t="s">
        <v>673</v>
      </c>
      <c r="C77" s="91">
        <v>200000</v>
      </c>
      <c r="D77" s="172">
        <v>0.27</v>
      </c>
      <c r="E77" s="91">
        <v>4</v>
      </c>
      <c r="F77" s="163">
        <f t="shared" ref="F77" si="3">SUM(C77*E77)</f>
        <v>800000</v>
      </c>
      <c r="H77" s="434">
        <v>0.27</v>
      </c>
      <c r="I77" s="459">
        <f t="shared" si="1"/>
        <v>216000</v>
      </c>
    </row>
    <row r="78" spans="1:9" ht="15" customHeight="1" x14ac:dyDescent="0.2">
      <c r="A78" s="942"/>
      <c r="B78" s="173" t="s">
        <v>674</v>
      </c>
      <c r="C78" s="91"/>
      <c r="D78" s="172"/>
      <c r="E78" s="91"/>
      <c r="F78" s="163">
        <v>110400</v>
      </c>
      <c r="I78" s="459"/>
    </row>
    <row r="79" spans="1:9" ht="15" customHeight="1" x14ac:dyDescent="0.2">
      <c r="A79" s="942"/>
      <c r="B79" s="173" t="s">
        <v>765</v>
      </c>
      <c r="C79" s="91"/>
      <c r="D79" s="172">
        <v>0.27</v>
      </c>
      <c r="E79" s="91"/>
      <c r="F79" s="163">
        <v>340000</v>
      </c>
      <c r="I79" s="459">
        <f t="shared" si="1"/>
        <v>0</v>
      </c>
    </row>
    <row r="80" spans="1:9" ht="15" customHeight="1" x14ac:dyDescent="0.2">
      <c r="A80" s="950"/>
      <c r="B80" s="948" t="s">
        <v>321</v>
      </c>
      <c r="C80" s="948"/>
      <c r="D80" s="948"/>
      <c r="E80" s="948"/>
      <c r="F80" s="164">
        <f>SUM(F75:F79)</f>
        <v>3884400</v>
      </c>
      <c r="I80" s="459">
        <f t="shared" si="1"/>
        <v>0</v>
      </c>
    </row>
    <row r="81" spans="1:11" ht="15" customHeight="1" x14ac:dyDescent="0.2">
      <c r="A81" s="977" t="s">
        <v>202</v>
      </c>
      <c r="B81" s="169" t="s">
        <v>565</v>
      </c>
      <c r="C81" s="91">
        <v>10000</v>
      </c>
      <c r="D81" s="91" t="s">
        <v>557</v>
      </c>
      <c r="E81" s="91">
        <v>12</v>
      </c>
      <c r="F81" s="163">
        <f>SUM(C81*E81)</f>
        <v>120000</v>
      </c>
      <c r="I81" s="459">
        <f t="shared" si="1"/>
        <v>0</v>
      </c>
    </row>
    <row r="82" spans="1:11" ht="15" customHeight="1" x14ac:dyDescent="0.2">
      <c r="A82" s="978"/>
      <c r="B82" s="169" t="s">
        <v>204</v>
      </c>
      <c r="C82" s="91">
        <v>80000</v>
      </c>
      <c r="D82" s="91"/>
      <c r="E82" s="91">
        <v>4</v>
      </c>
      <c r="F82" s="163">
        <f>SUM(C82*E82)</f>
        <v>320000</v>
      </c>
      <c r="I82" s="459">
        <f t="shared" si="1"/>
        <v>0</v>
      </c>
      <c r="J82" s="96"/>
    </row>
    <row r="83" spans="1:11" ht="15" customHeight="1" x14ac:dyDescent="0.2">
      <c r="A83" s="978"/>
      <c r="B83" s="169" t="s">
        <v>345</v>
      </c>
      <c r="C83" s="91">
        <v>14000</v>
      </c>
      <c r="D83" s="172">
        <v>0.27</v>
      </c>
      <c r="E83" s="91">
        <v>4</v>
      </c>
      <c r="F83" s="163">
        <f>SUM(C83*E83)</f>
        <v>56000</v>
      </c>
      <c r="H83" s="434">
        <v>0.27</v>
      </c>
      <c r="I83" s="459">
        <f t="shared" si="1"/>
        <v>15120.000000000002</v>
      </c>
      <c r="J83" s="96"/>
    </row>
    <row r="84" spans="1:11" ht="15" customHeight="1" x14ac:dyDescent="0.2">
      <c r="A84" s="978"/>
      <c r="B84" s="169" t="s">
        <v>603</v>
      </c>
      <c r="C84" s="91">
        <v>270000</v>
      </c>
      <c r="D84" s="172">
        <v>0.27</v>
      </c>
      <c r="E84" s="91">
        <v>4</v>
      </c>
      <c r="F84" s="163">
        <f>SUM(C84*E84)</f>
        <v>1080000</v>
      </c>
      <c r="H84" s="434">
        <v>0.27</v>
      </c>
      <c r="I84" s="459">
        <f t="shared" si="1"/>
        <v>291600</v>
      </c>
      <c r="J84" s="96"/>
    </row>
    <row r="85" spans="1:11" ht="15" customHeight="1" x14ac:dyDescent="0.2">
      <c r="A85" s="978"/>
      <c r="B85" s="169" t="s">
        <v>205</v>
      </c>
      <c r="C85" s="91"/>
      <c r="D85" s="162" t="s">
        <v>322</v>
      </c>
      <c r="E85" s="91"/>
      <c r="F85" s="163">
        <v>700000</v>
      </c>
      <c r="I85" s="459">
        <f t="shared" si="1"/>
        <v>0</v>
      </c>
    </row>
    <row r="86" spans="1:11" ht="15" customHeight="1" x14ac:dyDescent="0.2">
      <c r="A86" s="978"/>
      <c r="B86" s="169" t="s">
        <v>578</v>
      </c>
      <c r="C86" s="91"/>
      <c r="D86" s="162" t="s">
        <v>322</v>
      </c>
      <c r="E86" s="91"/>
      <c r="F86" s="163">
        <v>1500000</v>
      </c>
      <c r="I86" s="459">
        <f t="shared" si="1"/>
        <v>0</v>
      </c>
    </row>
    <row r="87" spans="1:11" ht="15" customHeight="1" x14ac:dyDescent="0.2">
      <c r="A87" s="978"/>
      <c r="B87" s="169" t="s">
        <v>579</v>
      </c>
      <c r="C87" s="91"/>
      <c r="D87" s="172">
        <v>0.27</v>
      </c>
      <c r="E87" s="91"/>
      <c r="F87" s="163">
        <v>400000</v>
      </c>
      <c r="H87" s="434">
        <v>0.27</v>
      </c>
      <c r="I87" s="459">
        <f>SUM(F87*H87)</f>
        <v>108000</v>
      </c>
    </row>
    <row r="88" spans="1:11" ht="15" customHeight="1" x14ac:dyDescent="0.2">
      <c r="A88" s="979"/>
      <c r="B88" s="170" t="s">
        <v>323</v>
      </c>
      <c r="C88" s="166"/>
      <c r="D88" s="166"/>
      <c r="E88" s="166"/>
      <c r="F88" s="164">
        <f>SUM(F81:F87)</f>
        <v>4176000</v>
      </c>
      <c r="I88" s="459">
        <f t="shared" si="1"/>
        <v>0</v>
      </c>
    </row>
    <row r="89" spans="1:11" ht="15" customHeight="1" x14ac:dyDescent="0.2">
      <c r="A89" s="87" t="s">
        <v>289</v>
      </c>
      <c r="B89" s="170" t="s">
        <v>400</v>
      </c>
      <c r="C89" s="166"/>
      <c r="D89" s="166"/>
      <c r="E89" s="166"/>
      <c r="F89" s="164">
        <v>0</v>
      </c>
      <c r="I89" s="459">
        <f t="shared" si="1"/>
        <v>0</v>
      </c>
    </row>
    <row r="90" spans="1:11" ht="18" customHeight="1" x14ac:dyDescent="0.2">
      <c r="A90" s="99" t="s">
        <v>210</v>
      </c>
      <c r="B90" s="924" t="s">
        <v>324</v>
      </c>
      <c r="C90" s="924"/>
      <c r="D90" s="924"/>
      <c r="E90" s="924"/>
      <c r="F90" s="164">
        <v>4200000</v>
      </c>
      <c r="G90" s="177"/>
      <c r="H90" s="440" t="s">
        <v>325</v>
      </c>
      <c r="I90" s="573">
        <f>SUM(I37:I89)</f>
        <v>4199400</v>
      </c>
      <c r="K90" s="96"/>
    </row>
    <row r="91" spans="1:11" ht="18" customHeight="1" x14ac:dyDescent="0.2">
      <c r="A91" s="76" t="s">
        <v>212</v>
      </c>
      <c r="B91" s="246" t="s">
        <v>213</v>
      </c>
      <c r="C91" s="247"/>
      <c r="D91" s="247"/>
      <c r="E91" s="247"/>
      <c r="F91" s="234">
        <v>14220000</v>
      </c>
      <c r="G91" s="388"/>
    </row>
    <row r="92" spans="1:11" ht="17.25" customHeight="1" x14ac:dyDescent="0.2">
      <c r="A92" s="76" t="s">
        <v>214</v>
      </c>
      <c r="B92" s="246" t="s">
        <v>215</v>
      </c>
      <c r="C92" s="247"/>
      <c r="D92" s="247"/>
      <c r="E92" s="247"/>
      <c r="F92" s="234">
        <v>10000</v>
      </c>
    </row>
    <row r="93" spans="1:11" ht="18" customHeight="1" x14ac:dyDescent="0.2">
      <c r="A93" s="76" t="s">
        <v>216</v>
      </c>
      <c r="B93" s="925" t="s">
        <v>217</v>
      </c>
      <c r="C93" s="925"/>
      <c r="D93" s="925"/>
      <c r="E93" s="925"/>
      <c r="F93" s="925"/>
    </row>
    <row r="94" spans="1:11" ht="18" customHeight="1" x14ac:dyDescent="0.2">
      <c r="A94" s="76"/>
      <c r="B94" s="176" t="s">
        <v>700</v>
      </c>
      <c r="C94" s="176"/>
      <c r="D94" s="176"/>
      <c r="E94" s="176"/>
      <c r="F94" s="163">
        <v>30000</v>
      </c>
    </row>
    <row r="95" spans="1:11" ht="18" customHeight="1" x14ac:dyDescent="0.2">
      <c r="A95" s="76"/>
      <c r="B95" s="176" t="s">
        <v>580</v>
      </c>
      <c r="C95" s="176">
        <v>96000</v>
      </c>
      <c r="D95" s="176"/>
      <c r="E95" s="176">
        <v>4</v>
      </c>
      <c r="F95" s="163">
        <f>SUM(C95*E95)</f>
        <v>384000</v>
      </c>
    </row>
    <row r="96" spans="1:11" ht="18" customHeight="1" x14ac:dyDescent="0.2">
      <c r="A96" s="76"/>
      <c r="B96" s="176" t="s">
        <v>699</v>
      </c>
      <c r="C96" s="176"/>
      <c r="D96" s="176"/>
      <c r="E96" s="176"/>
      <c r="F96" s="163">
        <v>5000</v>
      </c>
    </row>
    <row r="97" spans="1:9" ht="18" customHeight="1" x14ac:dyDescent="0.2">
      <c r="A97" s="76"/>
      <c r="B97" s="176" t="s">
        <v>579</v>
      </c>
      <c r="C97" s="176"/>
      <c r="D97" s="176"/>
      <c r="E97" s="176"/>
      <c r="F97" s="163">
        <v>211000</v>
      </c>
    </row>
    <row r="98" spans="1:9" ht="18" customHeight="1" x14ac:dyDescent="0.2">
      <c r="A98" s="99" t="s">
        <v>326</v>
      </c>
      <c r="B98" s="1002" t="s">
        <v>327</v>
      </c>
      <c r="C98" s="1002"/>
      <c r="D98" s="1002"/>
      <c r="E98" s="1002"/>
      <c r="F98" s="234">
        <f>SUM(F94:F97)</f>
        <v>630000</v>
      </c>
    </row>
    <row r="99" spans="1:9" ht="30.75" customHeight="1" x14ac:dyDescent="0.2">
      <c r="A99" s="76" t="s">
        <v>231</v>
      </c>
      <c r="B99" s="77" t="s">
        <v>232</v>
      </c>
      <c r="C99" s="91"/>
      <c r="D99" s="91"/>
      <c r="E99" s="91"/>
      <c r="F99" s="163"/>
    </row>
    <row r="100" spans="1:9" ht="18" customHeight="1" x14ac:dyDescent="0.2">
      <c r="A100" s="876" t="s">
        <v>228</v>
      </c>
      <c r="B100" s="925" t="s">
        <v>269</v>
      </c>
      <c r="C100" s="925"/>
      <c r="D100" s="925"/>
      <c r="E100" s="925"/>
      <c r="F100" s="925"/>
    </row>
    <row r="101" spans="1:9" ht="19.5" customHeight="1" x14ac:dyDescent="0.2">
      <c r="A101" s="876"/>
      <c r="B101" s="77"/>
      <c r="C101" s="91"/>
      <c r="D101" s="91"/>
      <c r="E101" s="91"/>
      <c r="F101" s="163">
        <v>0</v>
      </c>
    </row>
    <row r="102" spans="1:9" ht="19.5" customHeight="1" x14ac:dyDescent="0.2">
      <c r="A102" s="876"/>
      <c r="B102" s="988" t="s">
        <v>328</v>
      </c>
      <c r="C102" s="988"/>
      <c r="D102" s="988"/>
      <c r="E102" s="988"/>
      <c r="F102" s="232">
        <f>F101</f>
        <v>0</v>
      </c>
    </row>
    <row r="103" spans="1:9" ht="23.25" customHeight="1" x14ac:dyDescent="0.2">
      <c r="A103" s="88" t="s">
        <v>234</v>
      </c>
      <c r="B103" s="1002" t="s">
        <v>235</v>
      </c>
      <c r="C103" s="1002"/>
      <c r="D103" s="1002"/>
      <c r="E103" s="1002"/>
      <c r="F103" s="234">
        <v>206036</v>
      </c>
      <c r="H103" s="441"/>
    </row>
    <row r="104" spans="1:9" ht="15.95" customHeight="1" x14ac:dyDescent="0.2">
      <c r="A104" s="1005" t="s">
        <v>35</v>
      </c>
      <c r="B104" s="998" t="s">
        <v>696</v>
      </c>
      <c r="C104" s="998"/>
      <c r="D104" s="998"/>
      <c r="E104" s="998"/>
      <c r="F104" s="319">
        <v>46963413</v>
      </c>
      <c r="G104" s="307"/>
      <c r="H104" s="441"/>
      <c r="I104" s="452"/>
    </row>
    <row r="105" spans="1:9" ht="15.95" customHeight="1" x14ac:dyDescent="0.2">
      <c r="A105" s="1005"/>
      <c r="B105" s="971" t="s">
        <v>693</v>
      </c>
      <c r="C105" s="971"/>
      <c r="D105" s="971"/>
      <c r="E105" s="971"/>
      <c r="F105" s="163"/>
    </row>
    <row r="106" spans="1:9" ht="15.95" customHeight="1" x14ac:dyDescent="0.2">
      <c r="A106" s="1005"/>
      <c r="B106" s="971" t="s">
        <v>694</v>
      </c>
      <c r="C106" s="971"/>
      <c r="D106" s="971"/>
      <c r="E106" s="971"/>
      <c r="F106" s="163"/>
    </row>
    <row r="107" spans="1:9" ht="15.95" customHeight="1" x14ac:dyDescent="0.2">
      <c r="A107" s="1005"/>
      <c r="B107" s="971" t="s">
        <v>655</v>
      </c>
      <c r="C107" s="971"/>
      <c r="D107" s="971"/>
      <c r="E107" s="971"/>
      <c r="F107" s="155"/>
    </row>
    <row r="108" spans="1:9" ht="15.95" customHeight="1" x14ac:dyDescent="0.2">
      <c r="A108" s="1005"/>
      <c r="B108" s="971" t="s">
        <v>695</v>
      </c>
      <c r="C108" s="971"/>
      <c r="D108" s="971"/>
      <c r="E108" s="971"/>
      <c r="F108" s="155"/>
    </row>
    <row r="109" spans="1:9" ht="15.95" customHeight="1" x14ac:dyDescent="0.2">
      <c r="A109" s="1005"/>
      <c r="B109" s="971" t="s">
        <v>697</v>
      </c>
      <c r="C109" s="971"/>
      <c r="D109" s="971"/>
      <c r="E109" s="971"/>
      <c r="F109" s="155"/>
    </row>
    <row r="110" spans="1:9" ht="15.95" customHeight="1" x14ac:dyDescent="0.2">
      <c r="A110" s="1005"/>
      <c r="B110" s="971" t="s">
        <v>698</v>
      </c>
      <c r="C110" s="971"/>
      <c r="D110" s="971"/>
      <c r="E110" s="971"/>
      <c r="F110" s="155"/>
    </row>
    <row r="111" spans="1:9" ht="15.95" customHeight="1" x14ac:dyDescent="0.2">
      <c r="A111" s="1005"/>
      <c r="B111" s="971" t="s">
        <v>507</v>
      </c>
      <c r="C111" s="971"/>
      <c r="D111" s="971"/>
      <c r="E111" s="971"/>
      <c r="F111" s="163"/>
      <c r="G111" s="177">
        <f>SUM(F105:F112)</f>
        <v>0</v>
      </c>
    </row>
    <row r="112" spans="1:9" ht="15.95" customHeight="1" x14ac:dyDescent="0.2">
      <c r="A112" s="1005"/>
      <c r="B112" s="971" t="s">
        <v>593</v>
      </c>
      <c r="C112" s="971"/>
      <c r="D112" s="971"/>
      <c r="E112" s="971"/>
      <c r="F112" s="155"/>
      <c r="G112" s="177"/>
    </row>
    <row r="113" spans="1:10" ht="15.95" customHeight="1" thickBot="1" x14ac:dyDescent="0.25">
      <c r="A113" s="1005"/>
      <c r="B113" s="337" t="s">
        <v>38</v>
      </c>
      <c r="C113" s="338"/>
      <c r="D113" s="338"/>
      <c r="E113" s="339"/>
      <c r="F113" s="340">
        <v>0</v>
      </c>
    </row>
    <row r="114" spans="1:10" ht="15.95" customHeight="1" x14ac:dyDescent="0.2">
      <c r="A114" s="1005"/>
      <c r="B114" s="1006" t="s">
        <v>329</v>
      </c>
      <c r="C114" s="1006"/>
      <c r="D114" s="1006"/>
      <c r="E114" s="1006"/>
      <c r="F114" s="179">
        <f>SUM(F104:F113)</f>
        <v>46963413</v>
      </c>
      <c r="G114" s="308"/>
    </row>
    <row r="115" spans="1:10" ht="24" customHeight="1" x14ac:dyDescent="0.2">
      <c r="A115" s="76" t="s">
        <v>238</v>
      </c>
      <c r="B115" s="924" t="s">
        <v>470</v>
      </c>
      <c r="C115" s="924" t="s">
        <v>469</v>
      </c>
      <c r="D115" s="924">
        <v>0.27</v>
      </c>
      <c r="E115" s="924"/>
      <c r="F115" s="182">
        <v>1370000</v>
      </c>
      <c r="G115" s="195" t="s">
        <v>604</v>
      </c>
      <c r="H115" s="441"/>
    </row>
    <row r="116" spans="1:10" ht="17.25" customHeight="1" x14ac:dyDescent="0.2">
      <c r="A116" s="76" t="s">
        <v>242</v>
      </c>
      <c r="B116" s="924" t="s">
        <v>243</v>
      </c>
      <c r="C116" s="924"/>
      <c r="D116" s="924">
        <v>0.27</v>
      </c>
      <c r="E116" s="924"/>
      <c r="F116" s="182">
        <v>248000</v>
      </c>
      <c r="G116" s="177"/>
    </row>
    <row r="117" spans="1:10" ht="17.25" customHeight="1" x14ac:dyDescent="0.2">
      <c r="A117" s="76" t="s">
        <v>244</v>
      </c>
      <c r="B117" s="924" t="s">
        <v>245</v>
      </c>
      <c r="C117" s="924"/>
      <c r="D117" s="924">
        <v>0.27</v>
      </c>
      <c r="E117" s="924"/>
      <c r="F117" s="182">
        <v>100000</v>
      </c>
      <c r="G117" s="177"/>
      <c r="H117" s="524">
        <f>SUM(F115:F117)</f>
        <v>1718000</v>
      </c>
      <c r="I117" s="451">
        <v>0.27</v>
      </c>
      <c r="J117" s="102">
        <f>SUM(H117*I117)</f>
        <v>463860.00000000006</v>
      </c>
    </row>
    <row r="118" spans="1:10" x14ac:dyDescent="0.2">
      <c r="A118" s="88" t="s">
        <v>246</v>
      </c>
      <c r="B118" s="924" t="s">
        <v>273</v>
      </c>
      <c r="C118" s="924">
        <f>F115+F116+F117</f>
        <v>1718000</v>
      </c>
      <c r="D118" s="924">
        <v>0.27</v>
      </c>
      <c r="E118" s="924">
        <f>C118*D118</f>
        <v>463860.00000000006</v>
      </c>
      <c r="F118" s="182">
        <v>440000</v>
      </c>
    </row>
    <row r="119" spans="1:10" ht="17.25" customHeight="1" x14ac:dyDescent="0.2">
      <c r="A119" s="88" t="s">
        <v>248</v>
      </c>
      <c r="B119" s="925" t="s">
        <v>249</v>
      </c>
      <c r="C119" s="925"/>
      <c r="D119" s="925"/>
      <c r="E119" s="925"/>
      <c r="F119" s="925"/>
    </row>
    <row r="120" spans="1:10" ht="17.25" customHeight="1" x14ac:dyDescent="0.2">
      <c r="A120" s="165"/>
      <c r="B120" s="127"/>
      <c r="C120" s="83"/>
      <c r="D120" s="181">
        <v>0.27</v>
      </c>
      <c r="E120" s="83"/>
      <c r="F120" s="155">
        <v>0</v>
      </c>
      <c r="G120" s="177"/>
    </row>
    <row r="121" spans="1:10" ht="17.25" customHeight="1" x14ac:dyDescent="0.2">
      <c r="A121" s="121"/>
      <c r="B121" s="924" t="s">
        <v>330</v>
      </c>
      <c r="C121" s="924"/>
      <c r="D121" s="924"/>
      <c r="E121" s="924"/>
      <c r="F121" s="182">
        <f>SUM(F120:F120)</f>
        <v>0</v>
      </c>
      <c r="G121" s="183"/>
    </row>
    <row r="122" spans="1:10" x14ac:dyDescent="0.2">
      <c r="A122" s="87" t="s">
        <v>252</v>
      </c>
      <c r="B122" s="924" t="s">
        <v>274</v>
      </c>
      <c r="C122" s="924">
        <f>F121</f>
        <v>0</v>
      </c>
      <c r="D122" s="924">
        <v>0.27</v>
      </c>
      <c r="E122" s="924">
        <f>C122*D122</f>
        <v>0</v>
      </c>
      <c r="F122" s="164">
        <v>0</v>
      </c>
      <c r="H122" s="437"/>
    </row>
    <row r="123" spans="1:10" ht="21.75" thickBot="1" x14ac:dyDescent="0.25">
      <c r="A123" s="205" t="s">
        <v>757</v>
      </c>
      <c r="B123" s="759" t="s">
        <v>758</v>
      </c>
      <c r="C123" s="759"/>
      <c r="D123" s="759"/>
      <c r="E123" s="761"/>
      <c r="F123" s="760">
        <v>1500000</v>
      </c>
      <c r="H123" s="437" t="s">
        <v>777</v>
      </c>
    </row>
    <row r="124" spans="1:10" ht="27" customHeight="1" thickBot="1" x14ac:dyDescent="0.25">
      <c r="A124" s="937" t="s">
        <v>276</v>
      </c>
      <c r="B124" s="937"/>
      <c r="C124" s="937"/>
      <c r="D124" s="937"/>
      <c r="E124" s="937"/>
      <c r="F124" s="185">
        <f>F14+F25+F31+F32+F36+F40+F45+F49+F51+F55+F59+F63+F74+F80+F88+F89+F90+F91+F92+F98+F99+F102+F103+F114+F115+F116+F117+F118+F121+F122+F123</f>
        <v>123053106</v>
      </c>
      <c r="G124" s="177">
        <f>SUM(F124-'Kiadások COFOG szerint'!H56)</f>
        <v>0</v>
      </c>
    </row>
    <row r="125" spans="1:10" ht="26.25" customHeight="1" thickBot="1" x14ac:dyDescent="0.25">
      <c r="A125" s="927" t="s">
        <v>118</v>
      </c>
      <c r="B125" s="927"/>
      <c r="C125" s="927"/>
      <c r="D125" s="927"/>
      <c r="E125" s="927"/>
      <c r="F125" s="927"/>
    </row>
    <row r="126" spans="1:10" ht="19.5" customHeight="1" thickBot="1" x14ac:dyDescent="0.25">
      <c r="A126" s="929" t="s">
        <v>45</v>
      </c>
      <c r="B126" s="931" t="s">
        <v>46</v>
      </c>
      <c r="C126" s="932">
        <v>2023</v>
      </c>
      <c r="D126" s="932"/>
      <c r="E126" s="932"/>
      <c r="F126" s="932"/>
    </row>
    <row r="127" spans="1:10" ht="18" customHeight="1" thickBot="1" x14ac:dyDescent="0.25">
      <c r="A127" s="929"/>
      <c r="B127" s="931"/>
      <c r="C127" s="933"/>
      <c r="D127" s="933"/>
      <c r="E127" s="933"/>
      <c r="F127" s="159" t="s">
        <v>505</v>
      </c>
    </row>
    <row r="128" spans="1:10" ht="15.95" customHeight="1" x14ac:dyDescent="0.2">
      <c r="A128" s="121" t="s">
        <v>167</v>
      </c>
      <c r="B128" s="924" t="s">
        <v>168</v>
      </c>
      <c r="C128" s="924"/>
      <c r="D128" s="924">
        <v>0.27</v>
      </c>
      <c r="E128" s="924"/>
      <c r="F128" s="164">
        <f>SUM(F129)</f>
        <v>50000</v>
      </c>
    </row>
    <row r="129" spans="1:15" ht="15.95" customHeight="1" x14ac:dyDescent="0.2">
      <c r="A129" s="121"/>
      <c r="B129" s="122" t="s">
        <v>579</v>
      </c>
      <c r="C129" s="123"/>
      <c r="D129" s="233"/>
      <c r="E129" s="123"/>
      <c r="F129" s="187">
        <v>50000</v>
      </c>
    </row>
    <row r="130" spans="1:15" ht="15.95" customHeight="1" x14ac:dyDescent="0.2">
      <c r="A130" s="76" t="s">
        <v>186</v>
      </c>
      <c r="B130" s="77" t="s">
        <v>265</v>
      </c>
      <c r="C130" s="91"/>
      <c r="D130" s="172"/>
      <c r="E130" s="91"/>
      <c r="F130" s="163"/>
      <c r="G130" s="298" t="s">
        <v>371</v>
      </c>
      <c r="H130" s="442"/>
      <c r="I130" s="453"/>
      <c r="J130" s="299"/>
      <c r="K130" s="390">
        <f>SUM('Bevételek COFOG szerint 2023'!H54)</f>
        <v>885615</v>
      </c>
      <c r="L130" s="298" t="s">
        <v>369</v>
      </c>
      <c r="M130" s="102"/>
      <c r="O130" s="102"/>
    </row>
    <row r="131" spans="1:15" ht="15.95" customHeight="1" x14ac:dyDescent="0.2">
      <c r="A131" s="76" t="s">
        <v>190</v>
      </c>
      <c r="B131" s="924" t="s">
        <v>277</v>
      </c>
      <c r="C131" s="924"/>
      <c r="D131" s="924">
        <v>0.27</v>
      </c>
      <c r="E131" s="924"/>
      <c r="F131" s="164">
        <v>0</v>
      </c>
      <c r="G131" s="177"/>
    </row>
    <row r="132" spans="1:15" ht="15.95" customHeight="1" x14ac:dyDescent="0.2">
      <c r="A132" s="976" t="s">
        <v>196</v>
      </c>
      <c r="B132" s="925" t="s">
        <v>197</v>
      </c>
      <c r="C132" s="925"/>
      <c r="D132" s="925"/>
      <c r="E132" s="925"/>
      <c r="F132" s="925"/>
      <c r="G132" s="177"/>
    </row>
    <row r="133" spans="1:15" ht="15.95" customHeight="1" x14ac:dyDescent="0.2">
      <c r="A133" s="976"/>
      <c r="B133" s="77"/>
      <c r="C133" s="91"/>
      <c r="D133" s="91"/>
      <c r="E133" s="91"/>
      <c r="F133" s="163">
        <v>100000</v>
      </c>
      <c r="G133" s="177"/>
    </row>
    <row r="134" spans="1:15" ht="15.95" customHeight="1" x14ac:dyDescent="0.2">
      <c r="A134" s="976"/>
      <c r="B134" s="924" t="s">
        <v>331</v>
      </c>
      <c r="C134" s="924"/>
      <c r="D134" s="924"/>
      <c r="E134" s="924"/>
      <c r="F134" s="164">
        <f>SUM(F133)</f>
        <v>100000</v>
      </c>
      <c r="G134" s="177"/>
    </row>
    <row r="135" spans="1:15" ht="15.95" customHeight="1" x14ac:dyDescent="0.2">
      <c r="A135" s="970" t="s">
        <v>202</v>
      </c>
      <c r="B135" s="77" t="s">
        <v>203</v>
      </c>
      <c r="C135" s="91">
        <v>50000</v>
      </c>
      <c r="D135" s="172">
        <v>0.27</v>
      </c>
      <c r="E135" s="91">
        <v>12</v>
      </c>
      <c r="F135" s="163">
        <f>SUM(C135*E135)</f>
        <v>600000</v>
      </c>
      <c r="G135" s="177"/>
    </row>
    <row r="136" spans="1:15" ht="15.95" customHeight="1" x14ac:dyDescent="0.2">
      <c r="A136" s="970"/>
      <c r="B136" s="924" t="s">
        <v>323</v>
      </c>
      <c r="C136" s="924"/>
      <c r="D136" s="924"/>
      <c r="E136" s="924"/>
      <c r="F136" s="164">
        <f>F135</f>
        <v>600000</v>
      </c>
      <c r="G136" s="177"/>
    </row>
    <row r="137" spans="1:15" ht="20.25" customHeight="1" x14ac:dyDescent="0.2">
      <c r="A137" s="76" t="s">
        <v>210</v>
      </c>
      <c r="B137" s="77" t="s">
        <v>268</v>
      </c>
      <c r="C137" s="91">
        <f>F128+F131+F134+F136</f>
        <v>750000</v>
      </c>
      <c r="D137" s="172">
        <v>0.27</v>
      </c>
      <c r="E137" s="91">
        <f>C137*D137</f>
        <v>202500</v>
      </c>
      <c r="F137" s="234">
        <v>202500</v>
      </c>
      <c r="G137" s="186"/>
      <c r="J137" s="96"/>
    </row>
    <row r="138" spans="1:15" ht="19.5" customHeight="1" x14ac:dyDescent="0.2">
      <c r="A138" s="99" t="s">
        <v>244</v>
      </c>
      <c r="B138" s="924" t="s">
        <v>278</v>
      </c>
      <c r="C138" s="924"/>
      <c r="D138" s="924"/>
      <c r="E138" s="924"/>
      <c r="F138" s="164"/>
      <c r="G138" s="177"/>
    </row>
    <row r="139" spans="1:15" x14ac:dyDescent="0.2">
      <c r="A139" s="79" t="s">
        <v>246</v>
      </c>
      <c r="B139" s="924" t="s">
        <v>268</v>
      </c>
      <c r="C139" s="924"/>
      <c r="D139" s="924"/>
      <c r="E139" s="924"/>
      <c r="F139" s="164"/>
      <c r="G139" s="177"/>
    </row>
    <row r="140" spans="1:15" ht="19.5" customHeight="1" x14ac:dyDescent="0.2">
      <c r="A140" s="99" t="s">
        <v>248</v>
      </c>
      <c r="B140" s="924" t="s">
        <v>348</v>
      </c>
      <c r="C140" s="924"/>
      <c r="D140" s="924">
        <v>0.27</v>
      </c>
      <c r="E140" s="924"/>
      <c r="F140" s="164">
        <v>0</v>
      </c>
      <c r="G140" s="177"/>
    </row>
    <row r="141" spans="1:15" ht="23.25" customHeight="1" x14ac:dyDescent="0.2">
      <c r="A141" s="79" t="s">
        <v>252</v>
      </c>
      <c r="B141" s="924" t="s">
        <v>274</v>
      </c>
      <c r="C141" s="924">
        <f>F140</f>
        <v>0</v>
      </c>
      <c r="D141" s="924">
        <v>0.27</v>
      </c>
      <c r="E141" s="924"/>
      <c r="F141" s="164">
        <v>0</v>
      </c>
      <c r="G141" s="177"/>
    </row>
    <row r="142" spans="1:15" ht="21" customHeight="1" x14ac:dyDescent="0.2">
      <c r="A142" s="937" t="s">
        <v>276</v>
      </c>
      <c r="B142" s="937"/>
      <c r="C142" s="937"/>
      <c r="D142" s="937"/>
      <c r="E142" s="937"/>
      <c r="F142" s="185">
        <f>F131+F134+F136+F137+F128+F140+F141+F138+F139</f>
        <v>952500</v>
      </c>
      <c r="G142" s="177">
        <f>SUM(F142-'Kiadások COFOG szerint'!H71)</f>
        <v>0</v>
      </c>
    </row>
    <row r="143" spans="1:15" ht="26.25" customHeight="1" thickBot="1" x14ac:dyDescent="0.25">
      <c r="A143" s="943" t="s">
        <v>279</v>
      </c>
      <c r="B143" s="943"/>
      <c r="C143" s="943"/>
      <c r="D143" s="943"/>
      <c r="E143" s="943"/>
      <c r="F143" s="943"/>
    </row>
    <row r="144" spans="1:15" ht="17.25" customHeight="1" thickBot="1" x14ac:dyDescent="0.25">
      <c r="A144" s="929" t="s">
        <v>45</v>
      </c>
      <c r="B144" s="931" t="s">
        <v>46</v>
      </c>
      <c r="C144" s="932">
        <v>2023</v>
      </c>
      <c r="D144" s="932"/>
      <c r="E144" s="932"/>
      <c r="F144" s="932"/>
    </row>
    <row r="145" spans="1:10" ht="21.75" customHeight="1" thickBot="1" x14ac:dyDescent="0.25">
      <c r="A145" s="929"/>
      <c r="B145" s="931"/>
      <c r="C145" s="933" t="s">
        <v>605</v>
      </c>
      <c r="D145" s="933"/>
      <c r="E145" s="933"/>
      <c r="F145" s="159" t="s">
        <v>505</v>
      </c>
    </row>
    <row r="146" spans="1:10" ht="15" customHeight="1" x14ac:dyDescent="0.2">
      <c r="A146" s="282" t="s">
        <v>167</v>
      </c>
      <c r="B146" s="122" t="s">
        <v>168</v>
      </c>
      <c r="C146" s="123">
        <v>40000</v>
      </c>
      <c r="D146" s="233">
        <v>0.27</v>
      </c>
      <c r="E146" s="123"/>
      <c r="F146" s="593">
        <v>100000</v>
      </c>
      <c r="H146" s="434">
        <v>0.27</v>
      </c>
      <c r="I146" s="69">
        <f>SUM(F146*D146)</f>
        <v>27000</v>
      </c>
    </row>
    <row r="147" spans="1:10" ht="15" customHeight="1" x14ac:dyDescent="0.2">
      <c r="A147" s="99" t="s">
        <v>186</v>
      </c>
      <c r="B147" s="77" t="s">
        <v>402</v>
      </c>
      <c r="C147" s="91">
        <v>40000</v>
      </c>
      <c r="D147" s="233">
        <v>0.27</v>
      </c>
      <c r="E147" s="91">
        <v>12</v>
      </c>
      <c r="F147" s="163">
        <f>SUM(C147*E147)</f>
        <v>480000</v>
      </c>
      <c r="H147" s="434">
        <v>0.27</v>
      </c>
      <c r="I147" s="69">
        <f>SUM(F147*D147)</f>
        <v>129600.00000000001</v>
      </c>
    </row>
    <row r="148" spans="1:10" ht="15" customHeight="1" x14ac:dyDescent="0.2">
      <c r="A148" s="99" t="s">
        <v>188</v>
      </c>
      <c r="B148" s="77" t="s">
        <v>403</v>
      </c>
      <c r="C148" s="91">
        <v>80000</v>
      </c>
      <c r="D148" s="233">
        <v>0.27</v>
      </c>
      <c r="E148" s="91">
        <v>12</v>
      </c>
      <c r="F148" s="163">
        <f>SUM(C148*E148)</f>
        <v>960000</v>
      </c>
      <c r="H148" s="434">
        <v>0.27</v>
      </c>
      <c r="I148" s="69">
        <f t="shared" ref="I148:I152" si="4">SUM(F148*D148)</f>
        <v>259200.00000000003</v>
      </c>
    </row>
    <row r="149" spans="1:10" ht="15" customHeight="1" x14ac:dyDescent="0.2">
      <c r="A149" s="99" t="s">
        <v>190</v>
      </c>
      <c r="B149" s="77" t="s">
        <v>404</v>
      </c>
      <c r="C149" s="91">
        <v>12000</v>
      </c>
      <c r="D149" s="233">
        <v>0.27</v>
      </c>
      <c r="E149" s="91">
        <v>12</v>
      </c>
      <c r="F149" s="163">
        <f>SUM(C149*E149)</f>
        <v>144000</v>
      </c>
      <c r="H149" s="434">
        <v>0.27</v>
      </c>
      <c r="I149" s="69">
        <f t="shared" si="4"/>
        <v>38880</v>
      </c>
    </row>
    <row r="150" spans="1:10" ht="15" customHeight="1" x14ac:dyDescent="0.2">
      <c r="A150" s="99" t="s">
        <v>184</v>
      </c>
      <c r="B150" s="77" t="s">
        <v>285</v>
      </c>
      <c r="C150" s="91"/>
      <c r="D150" s="233"/>
      <c r="E150" s="91"/>
      <c r="F150" s="234">
        <f>SUM(F147:F149)</f>
        <v>1584000</v>
      </c>
      <c r="I150" s="69"/>
    </row>
    <row r="151" spans="1:10" ht="15" customHeight="1" x14ac:dyDescent="0.2">
      <c r="A151" s="99" t="s">
        <v>196</v>
      </c>
      <c r="B151" s="77" t="s">
        <v>401</v>
      </c>
      <c r="C151" s="91">
        <v>200000</v>
      </c>
      <c r="D151" s="233">
        <v>0.27</v>
      </c>
      <c r="E151" s="91">
        <v>1</v>
      </c>
      <c r="F151" s="234">
        <v>200000</v>
      </c>
      <c r="I151" s="69">
        <f t="shared" si="4"/>
        <v>54000</v>
      </c>
    </row>
    <row r="152" spans="1:10" ht="15" customHeight="1" x14ac:dyDescent="0.2">
      <c r="A152" s="79" t="s">
        <v>202</v>
      </c>
      <c r="B152" s="80" t="s">
        <v>405</v>
      </c>
      <c r="C152" s="83">
        <v>150000</v>
      </c>
      <c r="D152" s="233">
        <v>0.27</v>
      </c>
      <c r="E152" s="83"/>
      <c r="F152" s="473">
        <v>150000</v>
      </c>
      <c r="H152" s="434">
        <v>0.27</v>
      </c>
      <c r="I152" s="69">
        <f t="shared" si="4"/>
        <v>40500</v>
      </c>
    </row>
    <row r="153" spans="1:10" ht="22.5" customHeight="1" x14ac:dyDescent="0.2">
      <c r="A153" s="79" t="s">
        <v>210</v>
      </c>
      <c r="B153" s="80" t="s">
        <v>268</v>
      </c>
      <c r="C153" s="83"/>
      <c r="D153" s="233">
        <v>0.27</v>
      </c>
      <c r="E153" s="83"/>
      <c r="F153" s="473">
        <v>550000</v>
      </c>
      <c r="I153" s="465">
        <f>SUM(I146:I152)</f>
        <v>549180</v>
      </c>
      <c r="J153" s="465"/>
    </row>
    <row r="154" spans="1:10" ht="15" customHeight="1" x14ac:dyDescent="0.2">
      <c r="A154" s="79" t="s">
        <v>240</v>
      </c>
      <c r="B154" s="80" t="s">
        <v>532</v>
      </c>
      <c r="C154" s="191" t="s">
        <v>533</v>
      </c>
      <c r="D154" s="233"/>
      <c r="E154" s="83"/>
      <c r="F154" s="473"/>
      <c r="I154" s="454"/>
      <c r="J154" s="128"/>
    </row>
    <row r="155" spans="1:10" ht="18" customHeight="1" x14ac:dyDescent="0.2">
      <c r="A155" s="79" t="s">
        <v>248</v>
      </c>
      <c r="B155" s="80" t="s">
        <v>348</v>
      </c>
      <c r="C155" s="83" t="s">
        <v>527</v>
      </c>
      <c r="D155" s="233">
        <v>0.27</v>
      </c>
      <c r="E155" s="83"/>
      <c r="F155" s="473"/>
      <c r="I155" s="454"/>
      <c r="J155" s="128"/>
    </row>
    <row r="156" spans="1:10" ht="22.5" customHeight="1" thickBot="1" x14ac:dyDescent="0.25">
      <c r="A156" s="79" t="s">
        <v>252</v>
      </c>
      <c r="B156" s="80" t="s">
        <v>274</v>
      </c>
      <c r="C156" s="83"/>
      <c r="D156" s="233">
        <v>0.27</v>
      </c>
      <c r="E156" s="83"/>
      <c r="F156" s="473"/>
      <c r="I156" s="454"/>
      <c r="J156" s="128"/>
    </row>
    <row r="157" spans="1:10" ht="19.5" customHeight="1" thickBot="1" x14ac:dyDescent="0.25">
      <c r="A157" s="937" t="s">
        <v>276</v>
      </c>
      <c r="B157" s="937"/>
      <c r="C157" s="937"/>
      <c r="D157" s="937"/>
      <c r="E157" s="937"/>
      <c r="F157" s="185">
        <f>SUM(F146+F150+F151+F152+F153+F154+F155+F156)</f>
        <v>2584000</v>
      </c>
      <c r="G157" s="177">
        <f>SUM(F157-'Kiadások COFOG szerint'!H86)</f>
        <v>0</v>
      </c>
    </row>
    <row r="158" spans="1:10" ht="21.75" customHeight="1" thickBot="1" x14ac:dyDescent="0.25">
      <c r="A158" s="943" t="s">
        <v>280</v>
      </c>
      <c r="B158" s="943"/>
      <c r="C158" s="943"/>
      <c r="D158" s="943"/>
      <c r="E158" s="943"/>
      <c r="F158" s="943"/>
    </row>
    <row r="159" spans="1:10" ht="22.5" customHeight="1" thickBot="1" x14ac:dyDescent="0.25">
      <c r="A159" s="994" t="s">
        <v>45</v>
      </c>
      <c r="B159" s="995" t="s">
        <v>46</v>
      </c>
      <c r="C159" s="932">
        <v>2023</v>
      </c>
      <c r="D159" s="932"/>
      <c r="E159" s="932"/>
      <c r="F159" s="932"/>
    </row>
    <row r="160" spans="1:10" ht="22.5" customHeight="1" thickBot="1" x14ac:dyDescent="0.25">
      <c r="A160" s="994"/>
      <c r="B160" s="995"/>
      <c r="C160" s="933"/>
      <c r="D160" s="933"/>
      <c r="E160" s="933"/>
      <c r="F160" s="159" t="s">
        <v>505</v>
      </c>
      <c r="I160" s="69"/>
    </row>
    <row r="161" spans="1:10" ht="15.95" customHeight="1" x14ac:dyDescent="0.2">
      <c r="A161" s="121" t="s">
        <v>153</v>
      </c>
      <c r="B161" s="924" t="s">
        <v>154</v>
      </c>
      <c r="C161" s="924"/>
      <c r="D161" s="924">
        <v>0.27</v>
      </c>
      <c r="E161" s="924"/>
      <c r="F161" s="182">
        <v>60000</v>
      </c>
      <c r="G161" s="177"/>
      <c r="H161" s="434">
        <v>0.27</v>
      </c>
      <c r="I161" s="69">
        <f>SUM(F161*D161)</f>
        <v>16200.000000000002</v>
      </c>
    </row>
    <row r="162" spans="1:10" ht="15.95" customHeight="1" x14ac:dyDescent="0.2">
      <c r="A162" s="282" t="s">
        <v>311</v>
      </c>
      <c r="B162" s="77" t="s">
        <v>624</v>
      </c>
      <c r="C162" s="77"/>
      <c r="D162" s="122"/>
      <c r="E162" s="77"/>
      <c r="F162" s="292">
        <v>30000</v>
      </c>
      <c r="G162" s="177"/>
      <c r="I162" s="69"/>
    </row>
    <row r="163" spans="1:10" ht="15.95" customHeight="1" x14ac:dyDescent="0.2">
      <c r="A163" s="76" t="s">
        <v>167</v>
      </c>
      <c r="B163" s="77" t="s">
        <v>168</v>
      </c>
      <c r="C163" s="91"/>
      <c r="D163" s="233">
        <v>0.27</v>
      </c>
      <c r="E163" s="91"/>
      <c r="F163" s="163">
        <v>1000000</v>
      </c>
      <c r="G163" s="177"/>
      <c r="H163" s="434">
        <v>0.27</v>
      </c>
      <c r="I163" s="69">
        <f t="shared" ref="I163:I168" si="5">SUM(F163*D163)</f>
        <v>270000</v>
      </c>
    </row>
    <row r="164" spans="1:10" ht="15.95" customHeight="1" x14ac:dyDescent="0.2">
      <c r="A164" s="76" t="s">
        <v>171</v>
      </c>
      <c r="B164" s="77" t="s">
        <v>170</v>
      </c>
      <c r="C164" s="91"/>
      <c r="D164" s="172">
        <v>0.27</v>
      </c>
      <c r="E164" s="91"/>
      <c r="F164" s="163">
        <v>500000</v>
      </c>
      <c r="G164" s="177"/>
      <c r="H164" s="434">
        <v>0.27</v>
      </c>
      <c r="I164" s="69">
        <f t="shared" si="5"/>
        <v>135000</v>
      </c>
    </row>
    <row r="165" spans="1:10" ht="15.95" customHeight="1" x14ac:dyDescent="0.2">
      <c r="A165" s="99" t="s">
        <v>167</v>
      </c>
      <c r="B165" s="1009" t="s">
        <v>317</v>
      </c>
      <c r="C165" s="1010"/>
      <c r="D165" s="1010"/>
      <c r="E165" s="1011"/>
      <c r="F165" s="234">
        <f>F163+F164</f>
        <v>1500000</v>
      </c>
      <c r="G165" s="177"/>
      <c r="I165" s="69">
        <f t="shared" si="5"/>
        <v>0</v>
      </c>
    </row>
    <row r="166" spans="1:10" ht="15.95" customHeight="1" x14ac:dyDescent="0.2">
      <c r="A166" s="99" t="s">
        <v>194</v>
      </c>
      <c r="B166" s="626" t="s">
        <v>742</v>
      </c>
      <c r="C166" s="627"/>
      <c r="D166" s="629">
        <v>0.27</v>
      </c>
      <c r="E166" s="628"/>
      <c r="F166" s="473">
        <v>980000</v>
      </c>
      <c r="G166" s="177"/>
      <c r="I166" s="69">
        <f>SUM(F166*D166)</f>
        <v>264600</v>
      </c>
    </row>
    <row r="167" spans="1:10" ht="15.95" customHeight="1" x14ac:dyDescent="0.2">
      <c r="A167" s="99" t="s">
        <v>196</v>
      </c>
      <c r="B167" s="626" t="s">
        <v>760</v>
      </c>
      <c r="C167" s="627"/>
      <c r="D167" s="629"/>
      <c r="E167" s="628"/>
      <c r="F167" s="473">
        <v>122000</v>
      </c>
      <c r="G167" s="177"/>
      <c r="I167" s="69"/>
    </row>
    <row r="168" spans="1:10" ht="15.95" customHeight="1" x14ac:dyDescent="0.2">
      <c r="A168" s="970" t="s">
        <v>202</v>
      </c>
      <c r="B168" s="80" t="s">
        <v>406</v>
      </c>
      <c r="C168" s="83"/>
      <c r="D168" s="181">
        <v>0.27</v>
      </c>
      <c r="E168" s="83"/>
      <c r="F168" s="155">
        <v>1310000</v>
      </c>
      <c r="G168" s="177"/>
      <c r="H168" s="434">
        <v>0.27</v>
      </c>
      <c r="I168" s="69">
        <f t="shared" si="5"/>
        <v>353700</v>
      </c>
    </row>
    <row r="169" spans="1:10" ht="15.95" customHeight="1" x14ac:dyDescent="0.2">
      <c r="A169" s="970"/>
      <c r="B169" s="924" t="s">
        <v>323</v>
      </c>
      <c r="C169" s="924"/>
      <c r="D169" s="924"/>
      <c r="E169" s="924"/>
      <c r="F169" s="182">
        <f>SUM(F168:F168)</f>
        <v>1310000</v>
      </c>
      <c r="I169" s="69"/>
    </row>
    <row r="170" spans="1:10" ht="15.95" customHeight="1" x14ac:dyDescent="0.2">
      <c r="A170" s="79" t="s">
        <v>289</v>
      </c>
      <c r="B170" s="80" t="s">
        <v>677</v>
      </c>
      <c r="C170" s="80"/>
      <c r="D170" s="80"/>
      <c r="E170" s="80"/>
      <c r="F170" s="473"/>
      <c r="I170" s="69"/>
    </row>
    <row r="171" spans="1:10" ht="23.25" customHeight="1" thickBot="1" x14ac:dyDescent="0.25">
      <c r="A171" s="88" t="s">
        <v>210</v>
      </c>
      <c r="B171" s="80" t="s">
        <v>268</v>
      </c>
      <c r="C171" s="83">
        <f>F165+F169+F161+F166</f>
        <v>3850000</v>
      </c>
      <c r="D171" s="181">
        <v>0.27</v>
      </c>
      <c r="E171" s="83">
        <f>C171*D171</f>
        <v>1039500.0000000001</v>
      </c>
      <c r="F171" s="473">
        <v>910000</v>
      </c>
      <c r="G171" s="177"/>
      <c r="I171" s="69">
        <f>SUM(I161:I170)</f>
        <v>1039500</v>
      </c>
    </row>
    <row r="172" spans="1:10" ht="23.25" customHeight="1" thickBot="1" x14ac:dyDescent="0.25">
      <c r="A172" s="937" t="s">
        <v>276</v>
      </c>
      <c r="B172" s="937"/>
      <c r="C172" s="937"/>
      <c r="D172" s="937"/>
      <c r="E172" s="937"/>
      <c r="F172" s="185">
        <f>F161+F165+F169+F171+F170+F162+F166+F167</f>
        <v>4912000</v>
      </c>
      <c r="G172" s="177">
        <f>SUM(F172-'Kiadások COFOG szerint'!H99)</f>
        <v>0</v>
      </c>
    </row>
    <row r="173" spans="1:10" ht="25.5" customHeight="1" thickBot="1" x14ac:dyDescent="0.25">
      <c r="A173" s="991" t="s">
        <v>119</v>
      </c>
      <c r="B173" s="992"/>
      <c r="C173" s="992"/>
      <c r="D173" s="992"/>
      <c r="E173" s="992"/>
      <c r="F173" s="993"/>
    </row>
    <row r="174" spans="1:10" ht="22.5" customHeight="1" thickBot="1" x14ac:dyDescent="0.25">
      <c r="A174" s="928" t="s">
        <v>45</v>
      </c>
      <c r="B174" s="930" t="s">
        <v>46</v>
      </c>
      <c r="C174" s="932">
        <v>2023</v>
      </c>
      <c r="D174" s="932"/>
      <c r="E174" s="932"/>
      <c r="F174" s="932"/>
    </row>
    <row r="175" spans="1:10" ht="24" customHeight="1" thickBot="1" x14ac:dyDescent="0.25">
      <c r="A175" s="928"/>
      <c r="B175" s="930"/>
      <c r="C175" s="933"/>
      <c r="D175" s="933"/>
      <c r="E175" s="933"/>
      <c r="F175" s="159" t="s">
        <v>505</v>
      </c>
    </row>
    <row r="176" spans="1:10" x14ac:dyDescent="0.2">
      <c r="A176" s="129" t="s">
        <v>229</v>
      </c>
      <c r="B176" s="924" t="s">
        <v>281</v>
      </c>
      <c r="C176" s="924"/>
      <c r="D176" s="924"/>
      <c r="E176" s="924"/>
      <c r="F176" s="182">
        <v>0</v>
      </c>
      <c r="H176" s="437"/>
      <c r="J176" s="69"/>
    </row>
    <row r="177" spans="1:15" ht="13.5" thickBot="1" x14ac:dyDescent="0.25">
      <c r="A177" s="76" t="s">
        <v>40</v>
      </c>
      <c r="B177" s="924" t="s">
        <v>256</v>
      </c>
      <c r="C177" s="924"/>
      <c r="D177" s="924"/>
      <c r="E177" s="924"/>
      <c r="F177" s="182">
        <v>9750886</v>
      </c>
    </row>
    <row r="178" spans="1:15" ht="22.5" customHeight="1" thickBot="1" x14ac:dyDescent="0.25">
      <c r="A178" s="937" t="s">
        <v>276</v>
      </c>
      <c r="B178" s="937"/>
      <c r="C178" s="937"/>
      <c r="D178" s="937"/>
      <c r="E178" s="937"/>
      <c r="F178" s="185">
        <f>F176+F177</f>
        <v>9750886</v>
      </c>
      <c r="G178" s="177">
        <f>SUM(F178-'Kiadások COFOG szerint'!H105)</f>
        <v>0</v>
      </c>
    </row>
    <row r="179" spans="1:15" ht="23.25" customHeight="1" thickBot="1" x14ac:dyDescent="0.25">
      <c r="A179" s="943" t="s">
        <v>332</v>
      </c>
      <c r="B179" s="943"/>
      <c r="C179" s="943"/>
      <c r="D179" s="943"/>
      <c r="E179" s="943"/>
      <c r="F179" s="943"/>
    </row>
    <row r="180" spans="1:15" ht="19.5" customHeight="1" x14ac:dyDescent="0.2">
      <c r="A180" s="980" t="s">
        <v>45</v>
      </c>
      <c r="B180" s="981" t="s">
        <v>46</v>
      </c>
      <c r="C180" s="932">
        <v>2023</v>
      </c>
      <c r="D180" s="932"/>
      <c r="E180" s="932"/>
      <c r="F180" s="932"/>
    </row>
    <row r="181" spans="1:15" ht="17.25" customHeight="1" thickBot="1" x14ac:dyDescent="0.25">
      <c r="A181" s="994"/>
      <c r="B181" s="995"/>
      <c r="C181" s="933"/>
      <c r="D181" s="933"/>
      <c r="E181" s="933"/>
      <c r="F181" s="560" t="s">
        <v>505</v>
      </c>
    </row>
    <row r="182" spans="1:15" ht="20.25" customHeight="1" x14ac:dyDescent="0.2">
      <c r="A182" s="87" t="s">
        <v>495</v>
      </c>
      <c r="B182" s="1007" t="s">
        <v>493</v>
      </c>
      <c r="C182" s="1008"/>
      <c r="D182" s="1008"/>
      <c r="E182" s="1008"/>
      <c r="F182" s="163">
        <v>48529410</v>
      </c>
      <c r="G182" s="1000" t="s">
        <v>349</v>
      </c>
      <c r="H182" s="1000"/>
      <c r="I182" s="1000"/>
      <c r="J182" s="1001"/>
      <c r="K182" s="34"/>
      <c r="L182" s="34"/>
      <c r="M182" s="34"/>
      <c r="N182" s="34"/>
      <c r="O182" s="34"/>
    </row>
    <row r="183" spans="1:15" ht="20.25" customHeight="1" x14ac:dyDescent="0.2">
      <c r="A183" s="87"/>
      <c r="B183" s="983" t="s">
        <v>494</v>
      </c>
      <c r="C183" s="984"/>
      <c r="D183" s="984"/>
      <c r="E183" s="984"/>
      <c r="F183" s="985"/>
      <c r="G183" s="380"/>
      <c r="H183" s="443"/>
      <c r="I183" s="455"/>
      <c r="J183" s="382"/>
      <c r="K183" s="34"/>
      <c r="L183" s="34"/>
      <c r="M183" s="34"/>
      <c r="N183" s="34"/>
      <c r="O183" s="34"/>
    </row>
    <row r="184" spans="1:15" ht="20.25" customHeight="1" x14ac:dyDescent="0.2">
      <c r="A184" s="942" t="s">
        <v>590</v>
      </c>
      <c r="B184" s="982" t="s">
        <v>508</v>
      </c>
      <c r="C184" s="982"/>
      <c r="D184" s="982"/>
      <c r="E184" s="982"/>
      <c r="F184" s="986">
        <v>14000000</v>
      </c>
      <c r="G184" s="380"/>
      <c r="H184" s="443"/>
      <c r="I184" s="455"/>
      <c r="J184" s="382"/>
      <c r="K184" s="34"/>
      <c r="L184" s="34"/>
      <c r="M184" s="34"/>
      <c r="N184" s="34"/>
      <c r="O184" s="34"/>
    </row>
    <row r="185" spans="1:15" ht="20.25" customHeight="1" x14ac:dyDescent="0.2">
      <c r="A185" s="942"/>
      <c r="B185" s="982" t="s">
        <v>509</v>
      </c>
      <c r="C185" s="982"/>
      <c r="D185" s="982"/>
      <c r="E185" s="982"/>
      <c r="F185" s="987"/>
      <c r="G185" s="380"/>
      <c r="H185" s="443"/>
      <c r="I185" s="455"/>
      <c r="J185" s="382"/>
      <c r="K185" s="34"/>
      <c r="L185" s="34"/>
      <c r="M185" s="34"/>
      <c r="N185" s="34"/>
      <c r="O185" s="34"/>
    </row>
    <row r="186" spans="1:15" ht="20.25" customHeight="1" thickBot="1" x14ac:dyDescent="0.25">
      <c r="A186" s="87" t="s">
        <v>495</v>
      </c>
      <c r="B186" s="982" t="s">
        <v>510</v>
      </c>
      <c r="C186" s="982"/>
      <c r="D186" s="982"/>
      <c r="E186" s="982"/>
      <c r="F186" s="163">
        <v>550000</v>
      </c>
      <c r="G186" s="380"/>
      <c r="H186" s="443"/>
      <c r="I186" s="455"/>
      <c r="J186" s="382"/>
      <c r="K186" s="34"/>
      <c r="L186" s="34"/>
      <c r="M186" s="34"/>
      <c r="N186" s="34"/>
      <c r="O186" s="34"/>
    </row>
    <row r="187" spans="1:15" ht="18.75" customHeight="1" x14ac:dyDescent="0.2">
      <c r="A187" s="391"/>
      <c r="B187" s="570" t="s">
        <v>258</v>
      </c>
      <c r="C187" s="571"/>
      <c r="D187" s="571"/>
      <c r="E187" s="571"/>
      <c r="F187" s="620">
        <f>SUM(F188:F199)</f>
        <v>230127540</v>
      </c>
      <c r="G187" s="381"/>
      <c r="H187" s="443"/>
      <c r="I187" s="455"/>
      <c r="J187" s="382"/>
      <c r="K187" s="34"/>
      <c r="L187" s="34"/>
      <c r="M187" s="34"/>
      <c r="N187" s="34"/>
      <c r="O187" s="34"/>
    </row>
    <row r="188" spans="1:15" ht="17.25" customHeight="1" x14ac:dyDescent="0.2">
      <c r="A188" s="989" t="s">
        <v>257</v>
      </c>
      <c r="B188" s="988" t="s">
        <v>333</v>
      </c>
      <c r="C188" s="988"/>
      <c r="D188" s="988"/>
      <c r="E188" s="988"/>
      <c r="F188" s="163">
        <v>75169230</v>
      </c>
      <c r="G188" s="307"/>
      <c r="H188" s="441"/>
      <c r="I188" s="452"/>
      <c r="J188" s="34"/>
      <c r="K188" s="34"/>
      <c r="L188" s="34"/>
      <c r="M188" s="34"/>
      <c r="N188" s="34"/>
      <c r="O188" s="34"/>
    </row>
    <row r="189" spans="1:15" ht="17.25" customHeight="1" x14ac:dyDescent="0.2">
      <c r="A189" s="989"/>
      <c r="B189" s="988" t="s">
        <v>635</v>
      </c>
      <c r="C189" s="988"/>
      <c r="D189" s="988"/>
      <c r="E189" s="988"/>
      <c r="F189" s="163">
        <v>22047692</v>
      </c>
      <c r="G189" s="307"/>
      <c r="H189" s="441"/>
      <c r="I189" s="452"/>
      <c r="J189" s="34"/>
      <c r="K189" s="34"/>
      <c r="L189" s="34"/>
      <c r="M189" s="34"/>
      <c r="N189" s="34"/>
      <c r="O189" s="34"/>
    </row>
    <row r="190" spans="1:15" ht="17.25" customHeight="1" x14ac:dyDescent="0.2">
      <c r="A190" s="989"/>
      <c r="B190" s="988" t="s">
        <v>740</v>
      </c>
      <c r="C190" s="988"/>
      <c r="D190" s="988"/>
      <c r="E190" s="988"/>
      <c r="F190" s="163">
        <v>3292800</v>
      </c>
      <c r="G190" s="307"/>
      <c r="H190" s="441"/>
      <c r="I190" s="452"/>
      <c r="J190" s="34"/>
      <c r="K190" s="34"/>
      <c r="L190" s="34"/>
      <c r="M190" s="34"/>
      <c r="N190" s="34"/>
      <c r="O190" s="34"/>
    </row>
    <row r="191" spans="1:15" ht="17.25" customHeight="1" x14ac:dyDescent="0.2">
      <c r="A191" s="989"/>
      <c r="B191" s="988" t="s">
        <v>334</v>
      </c>
      <c r="C191" s="988"/>
      <c r="D191" s="988"/>
      <c r="E191" s="988"/>
      <c r="F191" s="163">
        <v>10099908</v>
      </c>
      <c r="G191" s="307"/>
      <c r="H191" s="441"/>
      <c r="I191" s="452"/>
      <c r="J191" s="34"/>
      <c r="K191" s="34"/>
      <c r="L191" s="34"/>
      <c r="M191" s="34"/>
      <c r="N191" s="34"/>
      <c r="O191" s="34"/>
    </row>
    <row r="192" spans="1:15" ht="17.25" customHeight="1" x14ac:dyDescent="0.2">
      <c r="A192" s="989"/>
      <c r="B192" s="988" t="s">
        <v>739</v>
      </c>
      <c r="C192" s="988"/>
      <c r="D192" s="988"/>
      <c r="E192" s="988"/>
      <c r="F192" s="163">
        <v>8377369</v>
      </c>
      <c r="G192" s="307"/>
      <c r="H192" s="441"/>
      <c r="I192" s="452"/>
      <c r="J192" s="34"/>
      <c r="K192" s="34"/>
      <c r="L192" s="34"/>
      <c r="M192" s="34"/>
      <c r="N192" s="34"/>
      <c r="O192" s="34"/>
    </row>
    <row r="193" spans="1:15" ht="17.25" customHeight="1" x14ac:dyDescent="0.2">
      <c r="A193" s="989"/>
      <c r="B193" s="988" t="s">
        <v>407</v>
      </c>
      <c r="C193" s="988"/>
      <c r="D193" s="988"/>
      <c r="E193" s="988"/>
      <c r="F193" s="163">
        <v>72147110</v>
      </c>
      <c r="G193" s="307"/>
      <c r="H193" s="441"/>
      <c r="I193" s="452"/>
      <c r="J193" s="34"/>
      <c r="K193" s="34"/>
      <c r="L193" s="34"/>
      <c r="M193" s="34"/>
      <c r="N193" s="34"/>
      <c r="O193" s="34"/>
    </row>
    <row r="194" spans="1:15" ht="17.25" customHeight="1" x14ac:dyDescent="0.2">
      <c r="A194" s="989"/>
      <c r="B194" s="988" t="s">
        <v>468</v>
      </c>
      <c r="C194" s="988"/>
      <c r="D194" s="988"/>
      <c r="E194" s="988"/>
      <c r="F194" s="163">
        <v>12993720</v>
      </c>
      <c r="G194" s="309"/>
      <c r="H194" s="441"/>
      <c r="I194" s="452"/>
      <c r="J194" s="34"/>
      <c r="K194" s="34"/>
      <c r="L194" s="34"/>
      <c r="M194" s="34"/>
      <c r="N194" s="34"/>
      <c r="O194" s="34"/>
    </row>
    <row r="195" spans="1:15" ht="17.25" customHeight="1" x14ac:dyDescent="0.2">
      <c r="A195" s="989"/>
      <c r="B195" s="988" t="s">
        <v>744</v>
      </c>
      <c r="C195" s="988"/>
      <c r="D195" s="988"/>
      <c r="E195" s="988"/>
      <c r="F195" s="163">
        <v>4378080</v>
      </c>
      <c r="G195" s="309"/>
      <c r="H195" s="441"/>
      <c r="I195" s="452"/>
      <c r="J195" s="34"/>
      <c r="K195" s="34"/>
      <c r="L195" s="34"/>
      <c r="M195" s="34"/>
      <c r="N195" s="34"/>
      <c r="O195" s="34"/>
    </row>
    <row r="196" spans="1:15" ht="18" customHeight="1" x14ac:dyDescent="0.2">
      <c r="A196" s="989"/>
      <c r="B196" s="988" t="s">
        <v>408</v>
      </c>
      <c r="C196" s="988"/>
      <c r="D196" s="988"/>
      <c r="E196" s="988"/>
      <c r="F196" s="163">
        <v>5800273</v>
      </c>
      <c r="G196" s="307"/>
      <c r="H196" s="441"/>
      <c r="I196" s="452"/>
      <c r="J196" s="34"/>
      <c r="K196" s="34"/>
      <c r="L196" s="34"/>
      <c r="M196" s="34"/>
      <c r="N196" s="34"/>
      <c r="O196" s="34"/>
    </row>
    <row r="197" spans="1:15" ht="18" customHeight="1" x14ac:dyDescent="0.2">
      <c r="A197" s="989"/>
      <c r="B197" s="988" t="s">
        <v>409</v>
      </c>
      <c r="C197" s="988"/>
      <c r="D197" s="988"/>
      <c r="E197" s="988"/>
      <c r="F197" s="163">
        <v>13729990</v>
      </c>
      <c r="G197" s="307"/>
      <c r="H197" s="441"/>
      <c r="I197" s="452"/>
      <c r="J197" s="34"/>
      <c r="K197" s="34"/>
      <c r="L197" s="34"/>
      <c r="M197" s="34"/>
      <c r="N197" s="34"/>
      <c r="O197" s="34"/>
    </row>
    <row r="198" spans="1:15" ht="18" customHeight="1" x14ac:dyDescent="0.2">
      <c r="A198" s="989"/>
      <c r="B198" s="988" t="s">
        <v>779</v>
      </c>
      <c r="C198" s="988"/>
      <c r="D198" s="988"/>
      <c r="E198" s="988"/>
      <c r="F198" s="163">
        <v>1597368</v>
      </c>
      <c r="G198" s="307"/>
      <c r="H198" s="441"/>
      <c r="I198" s="452"/>
      <c r="J198" s="34"/>
      <c r="K198" s="34"/>
      <c r="L198" s="34"/>
      <c r="M198" s="34"/>
      <c r="N198" s="34"/>
      <c r="O198" s="34"/>
    </row>
    <row r="199" spans="1:15" ht="18" customHeight="1" thickBot="1" x14ac:dyDescent="0.25">
      <c r="A199" s="990"/>
      <c r="B199" s="988" t="s">
        <v>738</v>
      </c>
      <c r="C199" s="988"/>
      <c r="D199" s="988"/>
      <c r="E199" s="988"/>
      <c r="F199" s="389">
        <v>494000</v>
      </c>
      <c r="G199" s="307"/>
      <c r="H199" s="441"/>
      <c r="I199" s="452"/>
      <c r="J199" s="34"/>
      <c r="K199" s="34"/>
      <c r="L199" s="34"/>
      <c r="M199" s="34"/>
      <c r="N199" s="34"/>
      <c r="O199" s="34"/>
    </row>
    <row r="200" spans="1:15" ht="21" customHeight="1" thickBot="1" x14ac:dyDescent="0.25">
      <c r="A200" s="937" t="s">
        <v>276</v>
      </c>
      <c r="B200" s="937"/>
      <c r="C200" s="937"/>
      <c r="D200" s="937"/>
      <c r="E200" s="937"/>
      <c r="F200" s="185">
        <f>SUM(F184+F187+F186+F182)</f>
        <v>293206950</v>
      </c>
      <c r="G200" s="177">
        <f>SUM(F200-'Kiadások COFOG szerint'!H111)</f>
        <v>0</v>
      </c>
    </row>
    <row r="201" spans="1:15" ht="25.5" customHeight="1" thickBot="1" x14ac:dyDescent="0.25">
      <c r="A201" s="943" t="s">
        <v>410</v>
      </c>
      <c r="B201" s="943"/>
      <c r="C201" s="943"/>
      <c r="D201" s="943"/>
      <c r="E201" s="943"/>
      <c r="F201" s="943"/>
    </row>
    <row r="202" spans="1:15" ht="21.75" customHeight="1" x14ac:dyDescent="0.2">
      <c r="A202" s="928" t="s">
        <v>45</v>
      </c>
      <c r="B202" s="930" t="s">
        <v>46</v>
      </c>
      <c r="C202" s="932">
        <v>2023</v>
      </c>
      <c r="D202" s="932"/>
      <c r="E202" s="932"/>
      <c r="F202" s="932"/>
    </row>
    <row r="203" spans="1:15" ht="23.25" customHeight="1" thickBot="1" x14ac:dyDescent="0.25">
      <c r="A203" s="980"/>
      <c r="B203" s="981"/>
      <c r="C203" s="933"/>
      <c r="D203" s="933"/>
      <c r="E203" s="933"/>
      <c r="F203" s="159" t="s">
        <v>505</v>
      </c>
    </row>
    <row r="204" spans="1:15" ht="15" customHeight="1" x14ac:dyDescent="0.2">
      <c r="A204" s="575" t="s">
        <v>141</v>
      </c>
      <c r="B204" s="246" t="s">
        <v>411</v>
      </c>
      <c r="C204" s="578"/>
      <c r="D204" s="579"/>
      <c r="E204" s="576"/>
      <c r="F204" s="577">
        <f>SUM(F205:F208)</f>
        <v>3037600</v>
      </c>
      <c r="G204" s="310"/>
    </row>
    <row r="205" spans="1:15" ht="15" customHeight="1" x14ac:dyDescent="0.2">
      <c r="A205" s="76"/>
      <c r="B205" s="77" t="s">
        <v>646</v>
      </c>
      <c r="C205" s="162">
        <v>3</v>
      </c>
      <c r="D205" s="162">
        <v>100000</v>
      </c>
      <c r="E205" s="162">
        <v>1</v>
      </c>
      <c r="F205" s="190">
        <f>SUM(C205*D205*E205)</f>
        <v>300000</v>
      </c>
      <c r="G205" s="310"/>
    </row>
    <row r="206" spans="1:15" ht="15" customHeight="1" x14ac:dyDescent="0.2">
      <c r="A206" s="76"/>
      <c r="B206" s="153">
        <v>2023</v>
      </c>
      <c r="C206" s="162">
        <v>2</v>
      </c>
      <c r="D206" s="162">
        <v>116000</v>
      </c>
      <c r="E206" s="162">
        <v>11</v>
      </c>
      <c r="F206" s="190">
        <f>SUM(C206*D206*E206)</f>
        <v>2552000</v>
      </c>
      <c r="G206" s="310"/>
    </row>
    <row r="207" spans="1:15" ht="15" customHeight="1" x14ac:dyDescent="0.2">
      <c r="A207" s="76"/>
      <c r="B207" s="153"/>
      <c r="C207" s="162">
        <v>1</v>
      </c>
      <c r="D207" s="162">
        <v>116000</v>
      </c>
      <c r="E207" s="162">
        <v>1</v>
      </c>
      <c r="F207" s="190">
        <f>SUM(C207*D207*E207)</f>
        <v>116000</v>
      </c>
      <c r="G207" s="310"/>
    </row>
    <row r="208" spans="1:15" ht="15" customHeight="1" x14ac:dyDescent="0.2">
      <c r="A208" s="76"/>
      <c r="B208" s="153"/>
      <c r="C208" s="162"/>
      <c r="D208" s="162"/>
      <c r="E208" s="162"/>
      <c r="F208" s="190">
        <v>69600</v>
      </c>
      <c r="G208" s="310"/>
    </row>
    <row r="209" spans="1:7" ht="15" customHeight="1" x14ac:dyDescent="0.2">
      <c r="A209" s="76" t="s">
        <v>155</v>
      </c>
      <c r="B209" s="246" t="s">
        <v>156</v>
      </c>
      <c r="C209" s="162">
        <f>F204</f>
        <v>3037600</v>
      </c>
      <c r="D209" s="167">
        <v>0.13</v>
      </c>
      <c r="E209" s="286">
        <v>0.5</v>
      </c>
      <c r="F209" s="577">
        <v>200000</v>
      </c>
      <c r="G209" s="195">
        <f>SUM(C209*D209*E209)</f>
        <v>197444</v>
      </c>
    </row>
    <row r="210" spans="1:7" ht="15" customHeight="1" x14ac:dyDescent="0.2">
      <c r="A210" s="99" t="s">
        <v>155</v>
      </c>
      <c r="B210" s="77" t="s">
        <v>335</v>
      </c>
      <c r="C210" s="91"/>
      <c r="D210" s="162"/>
      <c r="E210" s="91"/>
      <c r="F210" s="190"/>
    </row>
    <row r="211" spans="1:7" ht="15" customHeight="1" x14ac:dyDescent="0.2">
      <c r="A211" s="99" t="s">
        <v>167</v>
      </c>
      <c r="B211" s="77" t="s">
        <v>168</v>
      </c>
      <c r="C211" s="91"/>
      <c r="D211" s="172">
        <v>0.27</v>
      </c>
      <c r="E211" s="91"/>
      <c r="F211" s="190">
        <v>16433</v>
      </c>
    </row>
    <row r="212" spans="1:7" ht="21.75" customHeight="1" x14ac:dyDescent="0.2">
      <c r="A212" s="99" t="s">
        <v>210</v>
      </c>
      <c r="B212" s="77" t="s">
        <v>268</v>
      </c>
      <c r="C212" s="91"/>
      <c r="D212" s="172">
        <v>0.27</v>
      </c>
      <c r="E212" s="91"/>
      <c r="F212" s="190">
        <v>4437</v>
      </c>
    </row>
    <row r="213" spans="1:7" ht="21.75" customHeight="1" x14ac:dyDescent="0.2">
      <c r="A213" s="99" t="s">
        <v>244</v>
      </c>
      <c r="B213" s="77" t="s">
        <v>245</v>
      </c>
      <c r="C213" s="91"/>
      <c r="D213" s="172">
        <v>0.27</v>
      </c>
      <c r="E213" s="91"/>
      <c r="F213" s="190">
        <v>111810</v>
      </c>
    </row>
    <row r="214" spans="1:7" ht="22.5" customHeight="1" thickBot="1" x14ac:dyDescent="0.25">
      <c r="A214" s="79" t="s">
        <v>246</v>
      </c>
      <c r="B214" s="80" t="s">
        <v>273</v>
      </c>
      <c r="C214" s="83"/>
      <c r="D214" s="172">
        <v>0.27</v>
      </c>
      <c r="E214" s="83"/>
      <c r="F214" s="192">
        <v>30189</v>
      </c>
    </row>
    <row r="215" spans="1:7" ht="20.25" customHeight="1" thickBot="1" x14ac:dyDescent="0.25">
      <c r="A215" s="937" t="s">
        <v>276</v>
      </c>
      <c r="B215" s="937"/>
      <c r="C215" s="937"/>
      <c r="D215" s="937"/>
      <c r="E215" s="937"/>
      <c r="F215" s="185">
        <f>SUM(F204+F209+F211+F212+F213+F214)</f>
        <v>3400469</v>
      </c>
      <c r="G215" s="177">
        <f>SUM(F215-'Kiadások COFOG szerint'!H121)</f>
        <v>0</v>
      </c>
    </row>
    <row r="216" spans="1:7" ht="20.25" hidden="1" customHeight="1" thickBot="1" x14ac:dyDescent="0.25">
      <c r="A216" s="943" t="s">
        <v>412</v>
      </c>
      <c r="B216" s="943"/>
      <c r="C216" s="943"/>
      <c r="D216" s="943"/>
      <c r="E216" s="943"/>
      <c r="F216" s="943"/>
    </row>
    <row r="217" spans="1:7" ht="20.25" hidden="1" customHeight="1" x14ac:dyDescent="0.2">
      <c r="A217" s="980" t="s">
        <v>45</v>
      </c>
      <c r="B217" s="981" t="s">
        <v>46</v>
      </c>
      <c r="C217" s="932">
        <v>2021</v>
      </c>
      <c r="D217" s="932"/>
      <c r="E217" s="932"/>
      <c r="F217" s="932"/>
    </row>
    <row r="218" spans="1:7" ht="20.25" hidden="1" customHeight="1" thickBot="1" x14ac:dyDescent="0.25">
      <c r="A218" s="980"/>
      <c r="B218" s="981"/>
      <c r="C218" s="933"/>
      <c r="D218" s="933"/>
      <c r="E218" s="933"/>
      <c r="F218" s="159" t="s">
        <v>505</v>
      </c>
    </row>
    <row r="219" spans="1:7" ht="20.25" hidden="1" customHeight="1" x14ac:dyDescent="0.2">
      <c r="A219" s="76" t="s">
        <v>141</v>
      </c>
      <c r="B219" s="77" t="s">
        <v>411</v>
      </c>
      <c r="C219" s="162"/>
      <c r="D219" s="162"/>
      <c r="E219" s="162"/>
      <c r="F219" s="190">
        <v>0</v>
      </c>
    </row>
    <row r="220" spans="1:7" ht="20.25" hidden="1" customHeight="1" x14ac:dyDescent="0.2">
      <c r="A220" s="99" t="s">
        <v>147</v>
      </c>
      <c r="B220" s="77" t="s">
        <v>148</v>
      </c>
      <c r="C220" s="162"/>
      <c r="D220" s="162"/>
      <c r="E220" s="162"/>
      <c r="F220" s="190">
        <v>0</v>
      </c>
    </row>
    <row r="221" spans="1:7" ht="20.25" hidden="1" customHeight="1" x14ac:dyDescent="0.2">
      <c r="A221" s="76" t="s">
        <v>155</v>
      </c>
      <c r="B221" s="77" t="s">
        <v>156</v>
      </c>
      <c r="C221" s="162"/>
      <c r="D221" s="167"/>
      <c r="E221" s="286"/>
      <c r="F221" s="190">
        <v>0</v>
      </c>
    </row>
    <row r="222" spans="1:7" ht="20.25" hidden="1" customHeight="1" x14ac:dyDescent="0.2">
      <c r="A222" s="99" t="s">
        <v>155</v>
      </c>
      <c r="B222" s="77" t="s">
        <v>335</v>
      </c>
      <c r="C222" s="91"/>
      <c r="D222" s="162"/>
      <c r="E222" s="91"/>
      <c r="F222" s="190">
        <v>0</v>
      </c>
    </row>
    <row r="223" spans="1:7" ht="20.25" hidden="1" customHeight="1" x14ac:dyDescent="0.2">
      <c r="A223" s="99" t="s">
        <v>167</v>
      </c>
      <c r="B223" s="77" t="s">
        <v>168</v>
      </c>
      <c r="C223" s="91"/>
      <c r="D223" s="172"/>
      <c r="E223" s="91"/>
      <c r="F223" s="190">
        <v>0</v>
      </c>
    </row>
    <row r="224" spans="1:7" ht="20.25" hidden="1" customHeight="1" thickBot="1" x14ac:dyDescent="0.25">
      <c r="A224" s="99" t="s">
        <v>210</v>
      </c>
      <c r="B224" s="77" t="s">
        <v>268</v>
      </c>
      <c r="C224" s="91"/>
      <c r="D224" s="172"/>
      <c r="E224" s="91"/>
      <c r="F224" s="190">
        <v>0</v>
      </c>
    </row>
    <row r="225" spans="1:12" ht="20.25" hidden="1" customHeight="1" thickBot="1" x14ac:dyDescent="0.25">
      <c r="A225" s="937" t="s">
        <v>276</v>
      </c>
      <c r="B225" s="937"/>
      <c r="C225" s="937"/>
      <c r="D225" s="937"/>
      <c r="E225" s="937"/>
      <c r="F225" s="185">
        <f>SUM(F219:F224)</f>
        <v>0</v>
      </c>
    </row>
    <row r="226" spans="1:12" ht="24" customHeight="1" thickBot="1" x14ac:dyDescent="0.25">
      <c r="A226" s="927" t="s">
        <v>282</v>
      </c>
      <c r="B226" s="927"/>
      <c r="C226" s="927"/>
      <c r="D226" s="927"/>
      <c r="E226" s="927"/>
      <c r="F226" s="927"/>
    </row>
    <row r="227" spans="1:12" ht="23.25" customHeight="1" x14ac:dyDescent="0.2">
      <c r="A227" s="980" t="s">
        <v>45</v>
      </c>
      <c r="B227" s="981" t="s">
        <v>46</v>
      </c>
      <c r="C227" s="932">
        <v>2023</v>
      </c>
      <c r="D227" s="932"/>
      <c r="E227" s="932"/>
      <c r="F227" s="932"/>
    </row>
    <row r="228" spans="1:12" ht="25.5" customHeight="1" thickBot="1" x14ac:dyDescent="0.25">
      <c r="A228" s="980"/>
      <c r="B228" s="981"/>
      <c r="C228" s="933"/>
      <c r="D228" s="933"/>
      <c r="E228" s="933"/>
      <c r="F228" s="159" t="s">
        <v>505</v>
      </c>
    </row>
    <row r="229" spans="1:12" ht="15" customHeight="1" x14ac:dyDescent="0.2">
      <c r="A229" s="76" t="s">
        <v>167</v>
      </c>
      <c r="B229" s="924" t="s">
        <v>168</v>
      </c>
      <c r="C229" s="924"/>
      <c r="D229" s="924"/>
      <c r="E229" s="924"/>
      <c r="F229" s="164">
        <v>700000</v>
      </c>
      <c r="H229" s="434">
        <v>0.27</v>
      </c>
      <c r="I229" s="461">
        <f t="shared" ref="I229:I231" si="6">SUM(F229*H229)</f>
        <v>189000</v>
      </c>
    </row>
    <row r="230" spans="1:12" ht="15" customHeight="1" x14ac:dyDescent="0.2">
      <c r="A230" s="977" t="s">
        <v>196</v>
      </c>
      <c r="B230" s="77" t="s">
        <v>577</v>
      </c>
      <c r="C230" s="91"/>
      <c r="D230" s="172">
        <v>0.27</v>
      </c>
      <c r="E230" s="91"/>
      <c r="F230" s="163">
        <v>880000</v>
      </c>
      <c r="H230" s="434">
        <v>0.27</v>
      </c>
      <c r="I230" s="461">
        <f t="shared" si="6"/>
        <v>237600.00000000003</v>
      </c>
    </row>
    <row r="231" spans="1:12" ht="15" customHeight="1" x14ac:dyDescent="0.2">
      <c r="A231" s="978"/>
      <c r="B231" s="77" t="s">
        <v>566</v>
      </c>
      <c r="C231" s="91" t="s">
        <v>568</v>
      </c>
      <c r="D231" s="172">
        <v>0.27</v>
      </c>
      <c r="E231" s="460"/>
      <c r="F231" s="163">
        <v>500000</v>
      </c>
      <c r="H231" s="434">
        <v>0.27</v>
      </c>
      <c r="I231" s="461">
        <f t="shared" si="6"/>
        <v>135000</v>
      </c>
    </row>
    <row r="232" spans="1:12" ht="15" customHeight="1" x14ac:dyDescent="0.2">
      <c r="A232" s="978"/>
      <c r="B232" s="77" t="s">
        <v>567</v>
      </c>
      <c r="C232" s="91">
        <v>150000</v>
      </c>
      <c r="D232" s="172">
        <v>0.27</v>
      </c>
      <c r="E232" s="460">
        <v>3</v>
      </c>
      <c r="F232" s="163">
        <f>SUM(C232*E232)</f>
        <v>450000</v>
      </c>
      <c r="H232" s="434">
        <v>0.27</v>
      </c>
      <c r="I232" s="461">
        <f>SUM(F232*H232)</f>
        <v>121500.00000000001</v>
      </c>
    </row>
    <row r="233" spans="1:12" ht="15" customHeight="1" x14ac:dyDescent="0.2">
      <c r="A233" s="979"/>
      <c r="B233" s="924" t="s">
        <v>336</v>
      </c>
      <c r="C233" s="924"/>
      <c r="D233" s="924"/>
      <c r="E233" s="924"/>
      <c r="F233" s="164">
        <f>SUM(F230:F232)</f>
        <v>1830000</v>
      </c>
      <c r="G233" s="235" t="s">
        <v>368</v>
      </c>
      <c r="H233" s="444"/>
      <c r="I233" s="462"/>
      <c r="J233" s="235"/>
      <c r="K233" s="236">
        <f>SUM('Bevételek COFOG szerint 2023'!H55)</f>
        <v>4539360</v>
      </c>
      <c r="L233" s="237" t="s">
        <v>369</v>
      </c>
    </row>
    <row r="234" spans="1:12" ht="15" customHeight="1" x14ac:dyDescent="0.2">
      <c r="A234" s="76" t="s">
        <v>202</v>
      </c>
      <c r="B234" s="924" t="s">
        <v>203</v>
      </c>
      <c r="C234" s="924"/>
      <c r="D234" s="924"/>
      <c r="E234" s="924"/>
      <c r="F234" s="164">
        <f>SUM(F235:F236)</f>
        <v>3000000</v>
      </c>
      <c r="I234" s="463"/>
    </row>
    <row r="235" spans="1:12" ht="15" customHeight="1" x14ac:dyDescent="0.2">
      <c r="A235" s="76"/>
      <c r="B235" s="77" t="s">
        <v>575</v>
      </c>
      <c r="C235" s="91">
        <v>200000</v>
      </c>
      <c r="D235" s="172">
        <v>0.27</v>
      </c>
      <c r="E235" s="91">
        <v>12</v>
      </c>
      <c r="F235" s="163">
        <f>SUM(C235*E235)</f>
        <v>2400000</v>
      </c>
      <c r="H235" s="434">
        <v>0.27</v>
      </c>
      <c r="I235" s="461">
        <f>SUM(F235*H235)</f>
        <v>648000</v>
      </c>
    </row>
    <row r="236" spans="1:12" ht="15" customHeight="1" x14ac:dyDescent="0.2">
      <c r="A236" s="76"/>
      <c r="B236" s="77" t="s">
        <v>579</v>
      </c>
      <c r="C236" s="91">
        <v>46400</v>
      </c>
      <c r="D236" s="172">
        <v>0.27</v>
      </c>
      <c r="E236" s="91"/>
      <c r="F236" s="163">
        <v>600000</v>
      </c>
      <c r="H236" s="434">
        <v>0.27</v>
      </c>
      <c r="I236" s="461">
        <f>SUM(F236*H236)</f>
        <v>162000</v>
      </c>
    </row>
    <row r="237" spans="1:12" ht="21" x14ac:dyDescent="0.2">
      <c r="A237" s="76" t="s">
        <v>210</v>
      </c>
      <c r="B237" s="77" t="s">
        <v>268</v>
      </c>
      <c r="C237" s="91">
        <f>F233+F229+F234</f>
        <v>5530000</v>
      </c>
      <c r="D237" s="172">
        <v>0.27</v>
      </c>
      <c r="E237" s="91">
        <f>C237*D237</f>
        <v>1493100</v>
      </c>
      <c r="F237" s="164">
        <v>1500000</v>
      </c>
      <c r="I237" s="622">
        <f>SUM(I229:I236)</f>
        <v>1493100</v>
      </c>
    </row>
    <row r="238" spans="1:12" ht="15" customHeight="1" x14ac:dyDescent="0.2">
      <c r="A238" s="876" t="s">
        <v>248</v>
      </c>
      <c r="B238" s="176" t="s">
        <v>249</v>
      </c>
      <c r="C238" s="77"/>
      <c r="D238" s="77"/>
      <c r="E238" s="77"/>
      <c r="F238" s="621">
        <v>0</v>
      </c>
      <c r="I238" s="914"/>
      <c r="J238" s="914"/>
      <c r="L238" s="126"/>
    </row>
    <row r="239" spans="1:12" ht="15" customHeight="1" x14ac:dyDescent="0.2">
      <c r="A239" s="876"/>
      <c r="B239" s="924" t="s">
        <v>337</v>
      </c>
      <c r="C239" s="924"/>
      <c r="D239" s="924"/>
      <c r="E239" s="924"/>
      <c r="F239" s="182">
        <f>SUM(F238)</f>
        <v>0</v>
      </c>
      <c r="H239" s="437"/>
      <c r="I239" s="454"/>
      <c r="J239" s="128"/>
      <c r="L239" s="126"/>
    </row>
    <row r="240" spans="1:12" ht="21" x14ac:dyDescent="0.2">
      <c r="A240" s="88" t="s">
        <v>252</v>
      </c>
      <c r="B240" s="80" t="s">
        <v>274</v>
      </c>
      <c r="C240" s="83">
        <f>F239</f>
        <v>0</v>
      </c>
      <c r="D240" s="181">
        <v>0.27</v>
      </c>
      <c r="E240" s="83"/>
      <c r="F240" s="292">
        <v>0</v>
      </c>
      <c r="H240" s="445"/>
    </row>
    <row r="241" spans="1:15" ht="21" customHeight="1" thickBot="1" x14ac:dyDescent="0.25">
      <c r="A241" s="937" t="s">
        <v>276</v>
      </c>
      <c r="B241" s="937"/>
      <c r="C241" s="937"/>
      <c r="D241" s="937"/>
      <c r="E241" s="937"/>
      <c r="F241" s="185">
        <f>F233+F237+F239+F240+F229+F234</f>
        <v>7030000</v>
      </c>
      <c r="G241" s="177">
        <f>SUM(F241-'Kiadások COFOG szerint'!H141)</f>
        <v>0</v>
      </c>
      <c r="M241" s="34"/>
      <c r="N241" s="34"/>
    </row>
    <row r="242" spans="1:15" ht="30" customHeight="1" thickBot="1" x14ac:dyDescent="0.25">
      <c r="A242" s="943" t="s">
        <v>131</v>
      </c>
      <c r="B242" s="943"/>
      <c r="C242" s="943"/>
      <c r="D242" s="943"/>
      <c r="E242" s="943"/>
      <c r="F242" s="943"/>
    </row>
    <row r="243" spans="1:15" ht="18" customHeight="1" x14ac:dyDescent="0.2">
      <c r="A243" s="928" t="s">
        <v>45</v>
      </c>
      <c r="B243" s="930" t="s">
        <v>46</v>
      </c>
      <c r="C243" s="932">
        <v>2023</v>
      </c>
      <c r="D243" s="932"/>
      <c r="E243" s="932"/>
      <c r="F243" s="932"/>
      <c r="L243" s="34"/>
      <c r="M243" s="34"/>
      <c r="N243" s="34"/>
      <c r="O243" s="34"/>
    </row>
    <row r="244" spans="1:15" ht="24.75" customHeight="1" thickBot="1" x14ac:dyDescent="0.25">
      <c r="A244" s="980"/>
      <c r="B244" s="981"/>
      <c r="C244" s="933"/>
      <c r="D244" s="933"/>
      <c r="E244" s="933"/>
      <c r="F244" s="159" t="s">
        <v>505</v>
      </c>
    </row>
    <row r="245" spans="1:15" ht="12.75" customHeight="1" x14ac:dyDescent="0.2">
      <c r="A245" s="76" t="s">
        <v>190</v>
      </c>
      <c r="B245" s="77" t="s">
        <v>277</v>
      </c>
      <c r="C245" s="91"/>
      <c r="D245" s="91"/>
      <c r="E245" s="91"/>
      <c r="F245" s="193">
        <v>0</v>
      </c>
      <c r="H245" s="437"/>
    </row>
    <row r="246" spans="1:15" ht="12.75" customHeight="1" x14ac:dyDescent="0.2">
      <c r="A246" s="76" t="s">
        <v>196</v>
      </c>
      <c r="B246" s="77" t="s">
        <v>197</v>
      </c>
      <c r="C246" s="91"/>
      <c r="D246" s="91"/>
      <c r="E246" s="91"/>
      <c r="F246" s="193">
        <v>0</v>
      </c>
    </row>
    <row r="247" spans="1:15" ht="15" customHeight="1" x14ac:dyDescent="0.2">
      <c r="A247" s="76" t="s">
        <v>250</v>
      </c>
      <c r="B247" s="77" t="s">
        <v>251</v>
      </c>
      <c r="C247" s="91"/>
      <c r="D247" s="91"/>
      <c r="E247" s="91"/>
      <c r="F247" s="190">
        <v>7000000</v>
      </c>
    </row>
    <row r="248" spans="1:15" ht="22.5" customHeight="1" thickBot="1" x14ac:dyDescent="0.25">
      <c r="A248" s="76" t="s">
        <v>252</v>
      </c>
      <c r="B248" s="77" t="s">
        <v>274</v>
      </c>
      <c r="C248" s="91">
        <f>F247</f>
        <v>7000000</v>
      </c>
      <c r="D248" s="172">
        <v>0.27</v>
      </c>
      <c r="E248" s="91">
        <f>C248*D248</f>
        <v>1890000.0000000002</v>
      </c>
      <c r="F248" s="190">
        <v>1890000</v>
      </c>
    </row>
    <row r="249" spans="1:15" ht="21" customHeight="1" thickBot="1" x14ac:dyDescent="0.25">
      <c r="A249" s="937" t="s">
        <v>276</v>
      </c>
      <c r="B249" s="937"/>
      <c r="C249" s="937"/>
      <c r="D249" s="937"/>
      <c r="E249" s="937"/>
      <c r="F249" s="194">
        <f>SUM(F245:F248)</f>
        <v>8890000</v>
      </c>
      <c r="G249" s="177">
        <f>SUM(F249-'Kiadások COFOG szerint'!H149)</f>
        <v>0</v>
      </c>
    </row>
    <row r="250" spans="1:15" ht="21" customHeight="1" thickBot="1" x14ac:dyDescent="0.25">
      <c r="A250" s="943" t="s">
        <v>496</v>
      </c>
      <c r="B250" s="943"/>
      <c r="C250" s="943"/>
      <c r="D250" s="943"/>
      <c r="E250" s="943"/>
      <c r="F250" s="943"/>
    </row>
    <row r="251" spans="1:15" ht="21" customHeight="1" x14ac:dyDescent="0.2">
      <c r="A251" s="928" t="s">
        <v>45</v>
      </c>
      <c r="B251" s="930" t="s">
        <v>46</v>
      </c>
      <c r="C251" s="932">
        <v>2023</v>
      </c>
      <c r="D251" s="932"/>
      <c r="E251" s="932"/>
      <c r="F251" s="932"/>
    </row>
    <row r="252" spans="1:15" ht="21" customHeight="1" thickBot="1" x14ac:dyDescent="0.25">
      <c r="A252" s="994"/>
      <c r="B252" s="995"/>
      <c r="C252" s="933"/>
      <c r="D252" s="933"/>
      <c r="E252" s="933"/>
      <c r="F252" s="159" t="s">
        <v>505</v>
      </c>
    </row>
    <row r="253" spans="1:15" x14ac:dyDescent="0.2">
      <c r="A253" s="466" t="s">
        <v>499</v>
      </c>
      <c r="B253" s="467" t="s">
        <v>714</v>
      </c>
      <c r="C253" s="468"/>
      <c r="D253" s="469"/>
      <c r="E253" s="468"/>
      <c r="F253" s="470">
        <f>SUM(F254)</f>
        <v>3120000</v>
      </c>
    </row>
    <row r="254" spans="1:15" x14ac:dyDescent="0.2">
      <c r="A254" s="282"/>
      <c r="B254" s="122" t="s">
        <v>715</v>
      </c>
      <c r="C254" s="123"/>
      <c r="D254" s="233"/>
      <c r="E254" s="123"/>
      <c r="F254" s="365">
        <v>3120000</v>
      </c>
    </row>
    <row r="255" spans="1:15" x14ac:dyDescent="0.2">
      <c r="A255" s="466" t="s">
        <v>344</v>
      </c>
      <c r="B255" s="467" t="s">
        <v>624</v>
      </c>
      <c r="C255" s="468"/>
      <c r="D255" s="469"/>
      <c r="E255" s="468"/>
      <c r="F255" s="470">
        <f>SUM(F256)</f>
        <v>405600</v>
      </c>
    </row>
    <row r="256" spans="1:15" x14ac:dyDescent="0.2">
      <c r="A256" s="282"/>
      <c r="B256" s="122" t="s">
        <v>715</v>
      </c>
      <c r="C256" s="123"/>
      <c r="D256" s="233"/>
      <c r="E256" s="123"/>
      <c r="F256" s="365">
        <v>405600</v>
      </c>
    </row>
    <row r="257" spans="1:9" x14ac:dyDescent="0.2">
      <c r="A257" s="466" t="s">
        <v>167</v>
      </c>
      <c r="B257" s="467" t="s">
        <v>716</v>
      </c>
      <c r="C257" s="468"/>
      <c r="D257" s="469"/>
      <c r="E257" s="468"/>
      <c r="F257" s="470">
        <f>SUM(F258)</f>
        <v>874713</v>
      </c>
    </row>
    <row r="258" spans="1:9" x14ac:dyDescent="0.2">
      <c r="A258" s="282"/>
      <c r="B258" s="122" t="s">
        <v>715</v>
      </c>
      <c r="C258" s="123"/>
      <c r="D258" s="233"/>
      <c r="E258" s="123"/>
      <c r="F258" s="365">
        <v>874713</v>
      </c>
    </row>
    <row r="259" spans="1:9" x14ac:dyDescent="0.2">
      <c r="A259" s="466" t="s">
        <v>202</v>
      </c>
      <c r="B259" s="467" t="s">
        <v>203</v>
      </c>
      <c r="C259" s="468"/>
      <c r="D259" s="469"/>
      <c r="E259" s="468"/>
      <c r="F259" s="470"/>
    </row>
    <row r="260" spans="1:9" x14ac:dyDescent="0.2">
      <c r="A260" s="282"/>
      <c r="B260" s="122" t="s">
        <v>717</v>
      </c>
      <c r="C260" s="123"/>
      <c r="D260" s="233"/>
      <c r="E260" s="123"/>
      <c r="F260" s="365"/>
    </row>
    <row r="261" spans="1:9" ht="21" x14ac:dyDescent="0.2">
      <c r="A261" s="466" t="s">
        <v>210</v>
      </c>
      <c r="B261" s="467" t="s">
        <v>718</v>
      </c>
      <c r="C261" s="468"/>
      <c r="D261" s="469"/>
      <c r="E261" s="468"/>
      <c r="F261" s="470">
        <f>SUM(F262:F263)</f>
        <v>236173</v>
      </c>
    </row>
    <row r="262" spans="1:9" x14ac:dyDescent="0.2">
      <c r="A262" s="282"/>
      <c r="B262" s="122" t="s">
        <v>715</v>
      </c>
      <c r="C262" s="123"/>
      <c r="D262" s="233"/>
      <c r="E262" s="123"/>
      <c r="F262" s="365">
        <v>236173</v>
      </c>
    </row>
    <row r="263" spans="1:9" x14ac:dyDescent="0.2">
      <c r="A263" s="282"/>
      <c r="B263" s="122" t="s">
        <v>717</v>
      </c>
      <c r="C263" s="123"/>
      <c r="D263" s="233"/>
      <c r="E263" s="123"/>
      <c r="F263" s="365"/>
    </row>
    <row r="264" spans="1:9" x14ac:dyDescent="0.2">
      <c r="A264" s="466" t="s">
        <v>242</v>
      </c>
      <c r="B264" s="467" t="s">
        <v>719</v>
      </c>
      <c r="C264" s="468"/>
      <c r="D264" s="469"/>
      <c r="E264" s="468"/>
      <c r="F264" s="470">
        <f>SUM(F265)</f>
        <v>421327</v>
      </c>
    </row>
    <row r="265" spans="1:9" x14ac:dyDescent="0.2">
      <c r="A265" s="282"/>
      <c r="B265" s="122" t="s">
        <v>715</v>
      </c>
      <c r="C265" s="123"/>
      <c r="D265" s="233"/>
      <c r="E265" s="123"/>
      <c r="F265" s="365">
        <v>421327</v>
      </c>
    </row>
    <row r="266" spans="1:9" x14ac:dyDescent="0.2">
      <c r="A266" s="466" t="s">
        <v>244</v>
      </c>
      <c r="B266" s="467" t="s">
        <v>720</v>
      </c>
      <c r="C266" s="468"/>
      <c r="D266" s="469"/>
      <c r="E266" s="468"/>
      <c r="F266" s="470">
        <f>SUM(F267)</f>
        <v>236899</v>
      </c>
    </row>
    <row r="267" spans="1:9" x14ac:dyDescent="0.2">
      <c r="A267" s="282"/>
      <c r="B267" s="122" t="s">
        <v>715</v>
      </c>
      <c r="C267" s="123"/>
      <c r="D267" s="233"/>
      <c r="E267" s="123"/>
      <c r="F267" s="365">
        <v>236899</v>
      </c>
    </row>
    <row r="268" spans="1:9" ht="21" x14ac:dyDescent="0.2">
      <c r="A268" s="466" t="s">
        <v>246</v>
      </c>
      <c r="B268" s="467" t="s">
        <v>273</v>
      </c>
      <c r="C268" s="468"/>
      <c r="D268" s="469"/>
      <c r="E268" s="468"/>
      <c r="F268" s="470">
        <f>SUM(F269)</f>
        <v>177722</v>
      </c>
      <c r="H268" s="434">
        <v>0.27</v>
      </c>
      <c r="I268" s="69">
        <f>SUM(F268*H268)</f>
        <v>47984.94</v>
      </c>
    </row>
    <row r="269" spans="1:9" x14ac:dyDescent="0.2">
      <c r="A269" s="282"/>
      <c r="B269" s="122" t="s">
        <v>715</v>
      </c>
      <c r="C269" s="123"/>
      <c r="D269" s="233"/>
      <c r="E269" s="123"/>
      <c r="F269" s="365">
        <v>177722</v>
      </c>
      <c r="H269" s="434">
        <v>0.27</v>
      </c>
      <c r="I269" s="69">
        <f t="shared" ref="I269:I270" si="7">SUM(F269*H269)</f>
        <v>47984.94</v>
      </c>
    </row>
    <row r="270" spans="1:9" x14ac:dyDescent="0.2">
      <c r="A270" s="466" t="s">
        <v>248</v>
      </c>
      <c r="B270" s="467" t="s">
        <v>249</v>
      </c>
      <c r="C270" s="468"/>
      <c r="D270" s="469"/>
      <c r="E270" s="468"/>
      <c r="F270" s="470"/>
      <c r="H270" s="434">
        <v>0.27</v>
      </c>
      <c r="I270" s="69">
        <f t="shared" si="7"/>
        <v>0</v>
      </c>
    </row>
    <row r="271" spans="1:9" x14ac:dyDescent="0.2">
      <c r="A271" s="282"/>
      <c r="B271" s="122" t="s">
        <v>717</v>
      </c>
      <c r="C271" s="123"/>
      <c r="D271" s="233"/>
      <c r="E271" s="123"/>
      <c r="F271" s="365"/>
      <c r="I271" s="69"/>
    </row>
    <row r="272" spans="1:9" ht="21" x14ac:dyDescent="0.2">
      <c r="A272" s="466" t="s">
        <v>252</v>
      </c>
      <c r="B272" s="467" t="s">
        <v>274</v>
      </c>
      <c r="C272" s="468"/>
      <c r="D272" s="469"/>
      <c r="E272" s="468"/>
      <c r="F272" s="470"/>
      <c r="I272" s="69"/>
    </row>
    <row r="273" spans="1:12" ht="13.5" thickBot="1" x14ac:dyDescent="0.25">
      <c r="A273" s="99"/>
      <c r="B273" s="77" t="s">
        <v>721</v>
      </c>
      <c r="C273" s="91"/>
      <c r="D273" s="91"/>
      <c r="E273" s="91"/>
      <c r="F273" s="193"/>
      <c r="I273" s="69">
        <f>SUM(I268:I270)</f>
        <v>95969.88</v>
      </c>
    </row>
    <row r="274" spans="1:12" ht="21" customHeight="1" thickBot="1" x14ac:dyDescent="0.25">
      <c r="A274" s="937" t="s">
        <v>276</v>
      </c>
      <c r="B274" s="937"/>
      <c r="C274" s="937"/>
      <c r="D274" s="937"/>
      <c r="E274" s="937"/>
      <c r="F274" s="194">
        <f>SUM(F253+F255)+F257+F259+F261+F264+F266+F268+F270+F272</f>
        <v>5472434</v>
      </c>
      <c r="G274" s="177">
        <f>SUM(F274-'Kiadások COFOG szerint'!H160)</f>
        <v>0</v>
      </c>
    </row>
    <row r="275" spans="1:12" ht="27" customHeight="1" thickBot="1" x14ac:dyDescent="0.25">
      <c r="A275" s="943" t="s">
        <v>283</v>
      </c>
      <c r="B275" s="943"/>
      <c r="C275" s="943"/>
      <c r="D275" s="943"/>
      <c r="E275" s="943"/>
      <c r="F275" s="943"/>
    </row>
    <row r="276" spans="1:12" ht="21" customHeight="1" thickBot="1" x14ac:dyDescent="0.25">
      <c r="A276" s="928" t="s">
        <v>45</v>
      </c>
      <c r="B276" s="930" t="s">
        <v>46</v>
      </c>
      <c r="C276" s="932">
        <v>2023</v>
      </c>
      <c r="D276" s="932"/>
      <c r="E276" s="932"/>
      <c r="F276" s="932"/>
    </row>
    <row r="277" spans="1:12" ht="24.75" customHeight="1" thickBot="1" x14ac:dyDescent="0.25">
      <c r="A277" s="929"/>
      <c r="B277" s="931"/>
      <c r="C277" s="933"/>
      <c r="D277" s="933"/>
      <c r="E277" s="933"/>
      <c r="F277" s="159" t="s">
        <v>505</v>
      </c>
    </row>
    <row r="278" spans="1:12" ht="19.5" customHeight="1" x14ac:dyDescent="0.2">
      <c r="A278" s="99" t="s">
        <v>167</v>
      </c>
      <c r="B278" s="77" t="s">
        <v>168</v>
      </c>
      <c r="C278" s="290"/>
      <c r="D278" s="181">
        <v>0.27</v>
      </c>
      <c r="E278" s="290"/>
      <c r="F278" s="293">
        <v>600000</v>
      </c>
    </row>
    <row r="279" spans="1:12" ht="18.75" customHeight="1" x14ac:dyDescent="0.2">
      <c r="A279" s="76" t="s">
        <v>186</v>
      </c>
      <c r="B279" s="77" t="s">
        <v>265</v>
      </c>
      <c r="C279" s="91">
        <v>420000</v>
      </c>
      <c r="D279" s="181">
        <v>0.27</v>
      </c>
      <c r="E279" s="91">
        <v>12</v>
      </c>
      <c r="F279" s="232">
        <f>SUM(C279*E279)</f>
        <v>5040000</v>
      </c>
      <c r="G279" s="237" t="s">
        <v>370</v>
      </c>
      <c r="H279" s="446"/>
      <c r="I279" s="456"/>
      <c r="J279" s="237"/>
      <c r="K279" s="236">
        <f>SUM('Bevételek COFOG szerint 2023'!H53+'Bevételek COFOG szerint 2023'!H59)</f>
        <v>9757500</v>
      </c>
      <c r="L279" s="237" t="s">
        <v>369</v>
      </c>
    </row>
    <row r="280" spans="1:12" ht="18.75" customHeight="1" x14ac:dyDescent="0.2">
      <c r="A280" s="79" t="s">
        <v>196</v>
      </c>
      <c r="B280" s="80" t="s">
        <v>336</v>
      </c>
      <c r="C280" s="83"/>
      <c r="D280" s="181">
        <v>0.27</v>
      </c>
      <c r="E280" s="83"/>
      <c r="F280" s="292">
        <v>2100000</v>
      </c>
    </row>
    <row r="281" spans="1:12" ht="26.25" customHeight="1" thickBot="1" x14ac:dyDescent="0.25">
      <c r="A281" s="88" t="s">
        <v>210</v>
      </c>
      <c r="B281" s="80" t="s">
        <v>268</v>
      </c>
      <c r="C281" s="83">
        <f>F279+F280+F278</f>
        <v>7740000</v>
      </c>
      <c r="D281" s="181">
        <v>0.27</v>
      </c>
      <c r="E281" s="83">
        <f>C281*D281</f>
        <v>2089800.0000000002</v>
      </c>
      <c r="F281" s="292">
        <v>2100000</v>
      </c>
    </row>
    <row r="282" spans="1:12" ht="21" customHeight="1" thickBot="1" x14ac:dyDescent="0.25">
      <c r="A282" s="937" t="s">
        <v>276</v>
      </c>
      <c r="B282" s="937"/>
      <c r="C282" s="937"/>
      <c r="D282" s="937"/>
      <c r="E282" s="937"/>
      <c r="F282" s="185">
        <f>SUM(F278+F279+F280+F281)</f>
        <v>9840000</v>
      </c>
      <c r="G282" s="177">
        <f>SUM(F282-'Kiadások COFOG szerint'!H168)</f>
        <v>0</v>
      </c>
    </row>
    <row r="283" spans="1:12" ht="25.5" customHeight="1" thickBot="1" x14ac:dyDescent="0.25">
      <c r="A283" s="943" t="s">
        <v>284</v>
      </c>
      <c r="B283" s="943"/>
      <c r="C283" s="943"/>
      <c r="D283" s="943"/>
      <c r="E283" s="943"/>
      <c r="F283" s="943"/>
    </row>
    <row r="284" spans="1:12" ht="21.75" customHeight="1" thickBot="1" x14ac:dyDescent="0.25">
      <c r="A284" s="928" t="s">
        <v>45</v>
      </c>
      <c r="B284" s="930" t="s">
        <v>46</v>
      </c>
      <c r="C284" s="932">
        <v>2023</v>
      </c>
      <c r="D284" s="932"/>
      <c r="E284" s="932"/>
      <c r="F284" s="932"/>
    </row>
    <row r="285" spans="1:12" ht="27.75" customHeight="1" thickBot="1" x14ac:dyDescent="0.25">
      <c r="A285" s="928"/>
      <c r="B285" s="930"/>
      <c r="C285" s="933"/>
      <c r="D285" s="933"/>
      <c r="E285" s="933"/>
      <c r="F285" s="159" t="s">
        <v>505</v>
      </c>
    </row>
    <row r="286" spans="1:12" ht="15" customHeight="1" x14ac:dyDescent="0.2">
      <c r="A286" s="977" t="s">
        <v>141</v>
      </c>
      <c r="B286" s="975" t="s">
        <v>142</v>
      </c>
      <c r="C286" s="975"/>
      <c r="D286" s="975"/>
      <c r="E286" s="975"/>
      <c r="F286" s="975"/>
    </row>
    <row r="287" spans="1:12" ht="15" customHeight="1" x14ac:dyDescent="0.2">
      <c r="A287" s="978"/>
      <c r="B287" s="169" t="s">
        <v>680</v>
      </c>
      <c r="C287" s="91">
        <v>290000</v>
      </c>
      <c r="D287" s="162">
        <v>1</v>
      </c>
      <c r="E287" s="162" t="s">
        <v>306</v>
      </c>
      <c r="F287" s="163">
        <f>SUM(C287*D287)</f>
        <v>290000</v>
      </c>
    </row>
    <row r="288" spans="1:12" ht="15" customHeight="1" x14ac:dyDescent="0.2">
      <c r="A288" s="978"/>
      <c r="B288" s="169" t="s">
        <v>681</v>
      </c>
      <c r="C288" s="91">
        <v>296400</v>
      </c>
      <c r="D288" s="162">
        <v>11</v>
      </c>
      <c r="E288" s="162" t="s">
        <v>306</v>
      </c>
      <c r="F288" s="163">
        <f>SUM(C288*D288)</f>
        <v>3260400</v>
      </c>
      <c r="G288" s="177">
        <f>SUM(F287:F288)</f>
        <v>3550400</v>
      </c>
    </row>
    <row r="289" spans="1:10" ht="15" customHeight="1" x14ac:dyDescent="0.2">
      <c r="A289" s="979"/>
      <c r="B289" s="948" t="s">
        <v>338</v>
      </c>
      <c r="C289" s="948"/>
      <c r="D289" s="948"/>
      <c r="E289" s="948"/>
      <c r="F289" s="164">
        <v>3600000</v>
      </c>
    </row>
    <row r="290" spans="1:10" ht="15" customHeight="1" x14ac:dyDescent="0.2">
      <c r="A290" s="99" t="s">
        <v>682</v>
      </c>
      <c r="B290" s="246" t="s">
        <v>683</v>
      </c>
      <c r="C290" s="247"/>
      <c r="D290" s="247"/>
      <c r="E290" s="247"/>
      <c r="F290" s="234">
        <v>0</v>
      </c>
    </row>
    <row r="291" spans="1:10" ht="15" customHeight="1" x14ac:dyDescent="0.2">
      <c r="A291" s="99" t="s">
        <v>420</v>
      </c>
      <c r="B291" s="246" t="s">
        <v>550</v>
      </c>
      <c r="C291" s="247"/>
      <c r="D291" s="247"/>
      <c r="E291" s="247"/>
      <c r="F291" s="234">
        <v>150000</v>
      </c>
    </row>
    <row r="292" spans="1:10" ht="15" customHeight="1" x14ac:dyDescent="0.2">
      <c r="A292" s="76" t="s">
        <v>143</v>
      </c>
      <c r="B292" s="246" t="s">
        <v>144</v>
      </c>
      <c r="C292" s="247"/>
      <c r="D292" s="247"/>
      <c r="E292" s="247"/>
      <c r="F292" s="234"/>
    </row>
    <row r="293" spans="1:10" ht="15" customHeight="1" x14ac:dyDescent="0.2">
      <c r="A293" s="76" t="s">
        <v>145</v>
      </c>
      <c r="B293" s="281" t="s">
        <v>339</v>
      </c>
      <c r="C293" s="166">
        <v>1000</v>
      </c>
      <c r="D293" s="180">
        <v>12</v>
      </c>
      <c r="E293" s="180" t="s">
        <v>306</v>
      </c>
      <c r="F293" s="164"/>
      <c r="J293" s="96"/>
    </row>
    <row r="294" spans="1:10" ht="15" customHeight="1" x14ac:dyDescent="0.2">
      <c r="A294" s="917" t="s">
        <v>147</v>
      </c>
      <c r="B294" s="281" t="s">
        <v>148</v>
      </c>
      <c r="C294" s="166"/>
      <c r="D294" s="180">
        <v>12</v>
      </c>
      <c r="E294" s="180" t="s">
        <v>306</v>
      </c>
      <c r="F294" s="164">
        <f>SUM(F295:F297)</f>
        <v>160000</v>
      </c>
      <c r="J294" s="96"/>
    </row>
    <row r="295" spans="1:10" ht="15" customHeight="1" x14ac:dyDescent="0.2">
      <c r="A295" s="917"/>
      <c r="B295" s="77" t="s">
        <v>684</v>
      </c>
      <c r="C295" s="91">
        <v>4000</v>
      </c>
      <c r="D295" s="162">
        <v>1</v>
      </c>
      <c r="E295" s="162"/>
      <c r="F295" s="163">
        <f>SUM(C295*D295)</f>
        <v>4000</v>
      </c>
      <c r="J295" s="96"/>
    </row>
    <row r="296" spans="1:10" ht="15" customHeight="1" x14ac:dyDescent="0.2">
      <c r="A296" s="917"/>
      <c r="B296" s="77" t="s">
        <v>685</v>
      </c>
      <c r="C296" s="91">
        <v>5000</v>
      </c>
      <c r="D296" s="162">
        <v>11</v>
      </c>
      <c r="E296" s="162"/>
      <c r="F296" s="163">
        <f>SUM(C296*D296)</f>
        <v>55000</v>
      </c>
      <c r="J296" s="96"/>
    </row>
    <row r="297" spans="1:10" ht="15" customHeight="1" x14ac:dyDescent="0.2">
      <c r="A297" s="917"/>
      <c r="B297" s="77" t="s">
        <v>546</v>
      </c>
      <c r="C297" s="91"/>
      <c r="D297" s="162"/>
      <c r="E297" s="162"/>
      <c r="F297" s="163">
        <v>101000</v>
      </c>
      <c r="J297" s="96"/>
    </row>
    <row r="298" spans="1:10" ht="21" x14ac:dyDescent="0.2">
      <c r="A298" s="125" t="s">
        <v>151</v>
      </c>
      <c r="B298" s="281" t="s">
        <v>310</v>
      </c>
      <c r="C298" s="281"/>
      <c r="D298" s="281"/>
      <c r="E298" s="281"/>
      <c r="F298" s="164">
        <f>SUM(F299:F303)</f>
        <v>2860000</v>
      </c>
      <c r="J298" s="96"/>
    </row>
    <row r="299" spans="1:10" x14ac:dyDescent="0.2">
      <c r="A299" s="125"/>
      <c r="B299" s="77" t="s">
        <v>741</v>
      </c>
      <c r="C299" s="77"/>
      <c r="D299" s="77"/>
      <c r="E299" s="77"/>
      <c r="F299" s="163">
        <v>247500</v>
      </c>
      <c r="J299" s="96"/>
    </row>
    <row r="300" spans="1:10" x14ac:dyDescent="0.2">
      <c r="A300" s="125"/>
      <c r="B300" s="77" t="s">
        <v>658</v>
      </c>
      <c r="C300" s="77">
        <v>25000</v>
      </c>
      <c r="D300" s="77">
        <v>12</v>
      </c>
      <c r="E300" s="77"/>
      <c r="F300" s="163">
        <f>SUM(C300*D300)</f>
        <v>300000</v>
      </c>
      <c r="J300" s="96"/>
    </row>
    <row r="301" spans="1:10" x14ac:dyDescent="0.2">
      <c r="A301" s="125"/>
      <c r="B301" s="77" t="s">
        <v>762</v>
      </c>
      <c r="C301" s="77"/>
      <c r="D301" s="77"/>
      <c r="E301" s="77"/>
      <c r="F301" s="163">
        <v>148200</v>
      </c>
      <c r="J301" s="96"/>
    </row>
    <row r="302" spans="1:10" x14ac:dyDescent="0.2">
      <c r="A302" s="125"/>
      <c r="B302" s="77" t="s">
        <v>659</v>
      </c>
      <c r="C302" s="77">
        <v>180000</v>
      </c>
      <c r="D302" s="77">
        <v>12</v>
      </c>
      <c r="E302" s="77"/>
      <c r="F302" s="163">
        <f>SUM(C302*D302)</f>
        <v>2160000</v>
      </c>
      <c r="J302" s="96"/>
    </row>
    <row r="303" spans="1:10" x14ac:dyDescent="0.2">
      <c r="A303" s="125"/>
      <c r="B303" s="77"/>
      <c r="C303" s="77"/>
      <c r="D303" s="77"/>
      <c r="E303" s="77"/>
      <c r="F303" s="163">
        <v>4300</v>
      </c>
      <c r="J303" s="96"/>
    </row>
    <row r="304" spans="1:10" x14ac:dyDescent="0.2">
      <c r="A304" s="125" t="s">
        <v>395</v>
      </c>
      <c r="B304" s="281" t="s">
        <v>394</v>
      </c>
      <c r="C304" s="281"/>
      <c r="D304" s="281"/>
      <c r="E304" s="281"/>
      <c r="F304" s="164">
        <v>72218</v>
      </c>
      <c r="J304" s="96"/>
    </row>
    <row r="305" spans="1:12" ht="15" customHeight="1" x14ac:dyDescent="0.2">
      <c r="A305" s="976" t="s">
        <v>155</v>
      </c>
      <c r="B305" s="281" t="s">
        <v>624</v>
      </c>
      <c r="C305" s="189"/>
      <c r="D305" s="189"/>
      <c r="E305" s="196">
        <f>C306*D305</f>
        <v>0</v>
      </c>
      <c r="F305" s="164">
        <v>900000</v>
      </c>
      <c r="J305" s="96"/>
      <c r="K305" s="126"/>
      <c r="L305" s="96"/>
    </row>
    <row r="306" spans="1:12" ht="15" customHeight="1" x14ac:dyDescent="0.2">
      <c r="A306" s="976"/>
      <c r="B306" s="77" t="s">
        <v>631</v>
      </c>
      <c r="C306" s="91">
        <f>SUM(F289+F291+F293+F294+F298+F290)</f>
        <v>6770000</v>
      </c>
      <c r="D306" s="167">
        <v>0.13</v>
      </c>
      <c r="E306" s="561"/>
      <c r="F306" s="163">
        <f>SUM(C306*D306)</f>
        <v>880100</v>
      </c>
      <c r="J306" s="96"/>
      <c r="K306" s="126"/>
      <c r="L306" s="96"/>
    </row>
    <row r="307" spans="1:12" ht="15" customHeight="1" x14ac:dyDescent="0.2">
      <c r="A307" s="976"/>
      <c r="B307" s="77" t="s">
        <v>616</v>
      </c>
      <c r="C307" s="91">
        <f>SUM(F291)</f>
        <v>150000</v>
      </c>
      <c r="D307" s="167">
        <v>0.15</v>
      </c>
      <c r="E307" s="561"/>
      <c r="F307" s="163">
        <f>SUM(C307*D307)</f>
        <v>22500</v>
      </c>
      <c r="J307" s="96"/>
      <c r="K307" s="126"/>
      <c r="L307" s="96"/>
    </row>
    <row r="308" spans="1:12" ht="15" customHeight="1" x14ac:dyDescent="0.2">
      <c r="A308" s="744" t="s">
        <v>161</v>
      </c>
      <c r="B308" s="281" t="s">
        <v>160</v>
      </c>
      <c r="C308" s="166"/>
      <c r="D308" s="171"/>
      <c r="E308" s="166"/>
      <c r="F308" s="164">
        <v>0</v>
      </c>
      <c r="G308" s="177"/>
    </row>
    <row r="309" spans="1:12" ht="15" customHeight="1" x14ac:dyDescent="0.2">
      <c r="A309" s="976" t="s">
        <v>167</v>
      </c>
      <c r="B309" s="281" t="s">
        <v>168</v>
      </c>
      <c r="C309" s="166"/>
      <c r="D309" s="171"/>
      <c r="E309" s="166"/>
      <c r="F309" s="164">
        <f>SUM(F310:F314)</f>
        <v>2500000</v>
      </c>
    </row>
    <row r="310" spans="1:12" ht="15" customHeight="1" x14ac:dyDescent="0.2">
      <c r="A310" s="976"/>
      <c r="B310" s="77" t="s">
        <v>581</v>
      </c>
      <c r="C310" s="91"/>
      <c r="D310" s="172">
        <v>0.27</v>
      </c>
      <c r="E310" s="91"/>
      <c r="F310" s="163">
        <v>1000000</v>
      </c>
      <c r="I310" s="69">
        <f>SUM(F310*D310)</f>
        <v>270000</v>
      </c>
    </row>
    <row r="311" spans="1:12" ht="15" customHeight="1" x14ac:dyDescent="0.2">
      <c r="A311" s="976"/>
      <c r="B311" s="77" t="s">
        <v>582</v>
      </c>
      <c r="C311" s="91"/>
      <c r="D311" s="172">
        <v>0.27</v>
      </c>
      <c r="E311" s="91"/>
      <c r="F311" s="163">
        <v>240000</v>
      </c>
      <c r="I311" s="69">
        <f t="shared" ref="I311:I331" si="8">SUM(F311*D311)</f>
        <v>64800.000000000007</v>
      </c>
    </row>
    <row r="312" spans="1:12" ht="15" customHeight="1" x14ac:dyDescent="0.2">
      <c r="A312" s="976"/>
      <c r="B312" s="77" t="s">
        <v>632</v>
      </c>
      <c r="C312" s="91"/>
      <c r="D312" s="172">
        <v>0.27</v>
      </c>
      <c r="E312" s="91"/>
      <c r="F312" s="163">
        <v>200000</v>
      </c>
      <c r="I312" s="69">
        <f t="shared" si="8"/>
        <v>54000</v>
      </c>
    </row>
    <row r="313" spans="1:12" ht="15" customHeight="1" x14ac:dyDescent="0.2">
      <c r="A313" s="976"/>
      <c r="B313" s="77" t="s">
        <v>316</v>
      </c>
      <c r="C313" s="91"/>
      <c r="D313" s="172">
        <v>0.27</v>
      </c>
      <c r="E313" s="91"/>
      <c r="F313" s="163">
        <v>60000</v>
      </c>
      <c r="I313" s="69">
        <f t="shared" si="8"/>
        <v>16200.000000000002</v>
      </c>
    </row>
    <row r="314" spans="1:12" ht="15" customHeight="1" x14ac:dyDescent="0.2">
      <c r="A314" s="976"/>
      <c r="B314" s="77" t="s">
        <v>340</v>
      </c>
      <c r="C314" s="91"/>
      <c r="D314" s="172">
        <v>0.27</v>
      </c>
      <c r="E314" s="91"/>
      <c r="F314" s="163">
        <v>1000000</v>
      </c>
      <c r="G314" s="177"/>
      <c r="I314" s="69">
        <f t="shared" si="8"/>
        <v>270000</v>
      </c>
    </row>
    <row r="315" spans="1:12" ht="15" customHeight="1" x14ac:dyDescent="0.2">
      <c r="A315" s="917" t="s">
        <v>422</v>
      </c>
      <c r="B315" s="566" t="s">
        <v>318</v>
      </c>
      <c r="C315" s="567"/>
      <c r="D315" s="567"/>
      <c r="E315" s="567"/>
      <c r="F315" s="594">
        <f>SUM(F316)</f>
        <v>165600</v>
      </c>
      <c r="G315" s="177"/>
      <c r="I315" s="69"/>
    </row>
    <row r="316" spans="1:12" ht="15" customHeight="1" x14ac:dyDescent="0.2">
      <c r="A316" s="917"/>
      <c r="B316" s="176" t="s">
        <v>586</v>
      </c>
      <c r="C316" s="91">
        <v>13800</v>
      </c>
      <c r="D316" s="172">
        <v>0.05</v>
      </c>
      <c r="E316" s="77">
        <v>12</v>
      </c>
      <c r="F316" s="565">
        <f>SUM(C316*E316)</f>
        <v>165600</v>
      </c>
      <c r="G316" s="177"/>
      <c r="I316" s="69">
        <f t="shared" si="8"/>
        <v>8280</v>
      </c>
    </row>
    <row r="317" spans="1:12" ht="15" customHeight="1" x14ac:dyDescent="0.2">
      <c r="A317" s="917" t="s">
        <v>184</v>
      </c>
      <c r="B317" s="566" t="s">
        <v>285</v>
      </c>
      <c r="C317" s="567"/>
      <c r="D317" s="567"/>
      <c r="E317" s="567"/>
      <c r="F317" s="594">
        <f>SUM(F318:F320)</f>
        <v>1030000</v>
      </c>
      <c r="G317" s="177"/>
      <c r="I317" s="69"/>
    </row>
    <row r="318" spans="1:12" ht="15" customHeight="1" x14ac:dyDescent="0.2">
      <c r="A318" s="917"/>
      <c r="B318" s="569" t="s">
        <v>265</v>
      </c>
      <c r="C318" s="91"/>
      <c r="D318" s="172">
        <v>0.27</v>
      </c>
      <c r="E318" s="91"/>
      <c r="F318" s="163">
        <v>500000</v>
      </c>
      <c r="G318" s="177"/>
      <c r="I318" s="69">
        <f t="shared" si="8"/>
        <v>135000</v>
      </c>
    </row>
    <row r="319" spans="1:12" ht="15" customHeight="1" x14ac:dyDescent="0.2">
      <c r="A319" s="917"/>
      <c r="B319" s="569" t="s">
        <v>266</v>
      </c>
      <c r="C319" s="91"/>
      <c r="D319" s="172">
        <v>0.27</v>
      </c>
      <c r="E319" s="91"/>
      <c r="F319" s="163">
        <v>500000</v>
      </c>
      <c r="G319" s="177"/>
      <c r="I319" s="69">
        <f t="shared" si="8"/>
        <v>135000</v>
      </c>
    </row>
    <row r="320" spans="1:12" ht="15" customHeight="1" x14ac:dyDescent="0.2">
      <c r="A320" s="917"/>
      <c r="B320" s="569" t="s">
        <v>277</v>
      </c>
      <c r="C320" s="91"/>
      <c r="D320" s="172">
        <v>0.27</v>
      </c>
      <c r="E320" s="91"/>
      <c r="F320" s="163">
        <v>30000</v>
      </c>
      <c r="G320" s="177"/>
      <c r="I320" s="69">
        <f t="shared" si="8"/>
        <v>8100.0000000000009</v>
      </c>
    </row>
    <row r="321" spans="1:11" ht="15" customHeight="1" x14ac:dyDescent="0.2">
      <c r="A321" s="76" t="s">
        <v>194</v>
      </c>
      <c r="B321" s="281" t="s">
        <v>195</v>
      </c>
      <c r="C321" s="166"/>
      <c r="D321" s="171">
        <v>0.27</v>
      </c>
      <c r="E321" s="166"/>
      <c r="F321" s="164">
        <v>0</v>
      </c>
      <c r="G321" s="177"/>
      <c r="I321" s="69">
        <f t="shared" si="8"/>
        <v>0</v>
      </c>
    </row>
    <row r="322" spans="1:11" ht="15" customHeight="1" x14ac:dyDescent="0.2">
      <c r="A322" s="76" t="s">
        <v>196</v>
      </c>
      <c r="B322" s="566" t="s">
        <v>197</v>
      </c>
      <c r="C322" s="567"/>
      <c r="D322" s="567"/>
      <c r="E322" s="567"/>
      <c r="F322" s="568">
        <f>SUM(F323:F324)</f>
        <v>750000</v>
      </c>
      <c r="G322" s="177"/>
      <c r="I322" s="69">
        <f t="shared" si="8"/>
        <v>0</v>
      </c>
    </row>
    <row r="323" spans="1:11" ht="15" customHeight="1" x14ac:dyDescent="0.2">
      <c r="A323" s="88"/>
      <c r="B323" s="77" t="s">
        <v>585</v>
      </c>
      <c r="C323" s="91"/>
      <c r="D323" s="172">
        <v>0.27</v>
      </c>
      <c r="E323" s="91"/>
      <c r="F323" s="163">
        <v>350000</v>
      </c>
      <c r="G323" s="177"/>
      <c r="I323" s="69">
        <f t="shared" si="8"/>
        <v>94500</v>
      </c>
    </row>
    <row r="324" spans="1:11" ht="15" customHeight="1" x14ac:dyDescent="0.2">
      <c r="A324" s="88"/>
      <c r="B324" s="77" t="s">
        <v>341</v>
      </c>
      <c r="C324" s="91"/>
      <c r="D324" s="172">
        <v>0.27</v>
      </c>
      <c r="E324" s="91"/>
      <c r="F324" s="163">
        <v>400000</v>
      </c>
      <c r="G324" s="177"/>
      <c r="H324" s="437"/>
      <c r="I324" s="69">
        <f t="shared" si="8"/>
        <v>108000</v>
      </c>
    </row>
    <row r="325" spans="1:11" ht="15" customHeight="1" x14ac:dyDescent="0.2">
      <c r="A325" s="88" t="s">
        <v>200</v>
      </c>
      <c r="B325" s="562" t="s">
        <v>201</v>
      </c>
      <c r="C325" s="563"/>
      <c r="D325" s="563"/>
      <c r="E325" s="563"/>
      <c r="F325" s="564">
        <v>160000</v>
      </c>
      <c r="G325" s="177"/>
      <c r="I325" s="69">
        <f t="shared" si="8"/>
        <v>0</v>
      </c>
    </row>
    <row r="326" spans="1:11" ht="15" customHeight="1" x14ac:dyDescent="0.2">
      <c r="A326" s="88" t="s">
        <v>202</v>
      </c>
      <c r="B326" s="566" t="s">
        <v>203</v>
      </c>
      <c r="C326" s="567"/>
      <c r="D326" s="567"/>
      <c r="E326" s="567"/>
      <c r="F326" s="568">
        <f>SUM(F327:F330)</f>
        <v>1700000</v>
      </c>
      <c r="G326" s="177"/>
      <c r="I326" s="69">
        <f t="shared" si="8"/>
        <v>0</v>
      </c>
    </row>
    <row r="327" spans="1:11" ht="15" customHeight="1" x14ac:dyDescent="0.2">
      <c r="A327" s="165"/>
      <c r="B327" s="169" t="s">
        <v>633</v>
      </c>
      <c r="C327" s="91">
        <v>25300</v>
      </c>
      <c r="D327" s="172">
        <v>0.27</v>
      </c>
      <c r="E327" s="91">
        <v>12</v>
      </c>
      <c r="F327" s="163">
        <f>SUM(C327*E327)</f>
        <v>303600</v>
      </c>
      <c r="G327" s="471"/>
      <c r="I327" s="69">
        <f t="shared" si="8"/>
        <v>81972</v>
      </c>
    </row>
    <row r="328" spans="1:11" ht="15" customHeight="1" x14ac:dyDescent="0.2">
      <c r="A328" s="165"/>
      <c r="B328" s="169" t="s">
        <v>634</v>
      </c>
      <c r="C328" s="91"/>
      <c r="D328" s="172">
        <v>0.27</v>
      </c>
      <c r="E328" s="91"/>
      <c r="F328" s="163">
        <v>150000</v>
      </c>
      <c r="G328" s="471"/>
      <c r="I328" s="69">
        <f t="shared" si="8"/>
        <v>40500</v>
      </c>
    </row>
    <row r="329" spans="1:11" ht="15" customHeight="1" x14ac:dyDescent="0.2">
      <c r="A329" s="165"/>
      <c r="B329" s="169" t="s">
        <v>205</v>
      </c>
      <c r="C329" s="91"/>
      <c r="D329" s="172"/>
      <c r="E329" s="91"/>
      <c r="F329" s="163">
        <v>1200000</v>
      </c>
      <c r="G329" s="471"/>
      <c r="I329" s="69"/>
    </row>
    <row r="330" spans="1:11" ht="15" customHeight="1" x14ac:dyDescent="0.2">
      <c r="A330" s="165"/>
      <c r="B330" s="169" t="s">
        <v>207</v>
      </c>
      <c r="C330" s="91"/>
      <c r="D330" s="172">
        <v>0.27</v>
      </c>
      <c r="E330" s="91"/>
      <c r="F330" s="163">
        <v>46400</v>
      </c>
      <c r="G330" s="177"/>
      <c r="I330" s="69">
        <f t="shared" si="8"/>
        <v>12528</v>
      </c>
    </row>
    <row r="331" spans="1:11" ht="15" customHeight="1" x14ac:dyDescent="0.2">
      <c r="A331" s="76" t="s">
        <v>208</v>
      </c>
      <c r="B331" s="562" t="s">
        <v>209</v>
      </c>
      <c r="C331" s="563"/>
      <c r="D331" s="563"/>
      <c r="E331" s="563"/>
      <c r="F331" s="564">
        <v>0</v>
      </c>
      <c r="G331" s="177"/>
      <c r="I331" s="69">
        <f t="shared" si="8"/>
        <v>0</v>
      </c>
    </row>
    <row r="332" spans="1:11" ht="21.75" customHeight="1" x14ac:dyDescent="0.2">
      <c r="A332" s="88" t="s">
        <v>210</v>
      </c>
      <c r="B332" s="281" t="s">
        <v>268</v>
      </c>
      <c r="C332" s="166"/>
      <c r="D332" s="171">
        <v>0.27</v>
      </c>
      <c r="E332" s="166"/>
      <c r="F332" s="164">
        <v>1300000</v>
      </c>
      <c r="G332" s="186"/>
      <c r="I332" s="69">
        <f>SUM(I310:I331)</f>
        <v>1298880</v>
      </c>
      <c r="J332" s="96"/>
    </row>
    <row r="333" spans="1:11" ht="15" customHeight="1" x14ac:dyDescent="0.2">
      <c r="A333" s="79" t="s">
        <v>214</v>
      </c>
      <c r="B333" s="245" t="s">
        <v>415</v>
      </c>
      <c r="C333" s="277"/>
      <c r="D333" s="301"/>
      <c r="E333" s="277"/>
      <c r="F333" s="164">
        <v>0</v>
      </c>
      <c r="G333" s="186"/>
      <c r="J333" s="96"/>
    </row>
    <row r="334" spans="1:11" ht="15" customHeight="1" x14ac:dyDescent="0.2">
      <c r="A334" s="79" t="s">
        <v>216</v>
      </c>
      <c r="B334" s="245" t="s">
        <v>217</v>
      </c>
      <c r="C334" s="277"/>
      <c r="D334" s="301"/>
      <c r="E334" s="277"/>
      <c r="F334" s="164">
        <v>650000</v>
      </c>
      <c r="G334" s="186"/>
      <c r="J334" s="96"/>
    </row>
    <row r="335" spans="1:11" ht="17.25" customHeight="1" x14ac:dyDescent="0.2">
      <c r="A335" s="88" t="s">
        <v>244</v>
      </c>
      <c r="B335" s="925" t="s">
        <v>245</v>
      </c>
      <c r="C335" s="925"/>
      <c r="D335" s="925"/>
      <c r="E335" s="925"/>
      <c r="F335" s="925"/>
      <c r="G335" s="298" t="s">
        <v>414</v>
      </c>
      <c r="H335" s="442"/>
      <c r="I335" s="453"/>
      <c r="J335" s="299"/>
      <c r="K335" s="300">
        <f>SUM('Bevételek COFOG szerint 2023'!H52)</f>
        <v>4446000</v>
      </c>
    </row>
    <row r="336" spans="1:11" ht="17.25" customHeight="1" x14ac:dyDescent="0.2">
      <c r="A336" s="165"/>
      <c r="B336" s="607" t="s">
        <v>713</v>
      </c>
      <c r="C336" s="608"/>
      <c r="D336" s="608"/>
      <c r="E336" s="608"/>
      <c r="F336" s="155">
        <v>1973090</v>
      </c>
      <c r="G336" s="298"/>
      <c r="H336" s="442"/>
      <c r="I336" s="453"/>
      <c r="J336" s="299"/>
      <c r="K336" s="300"/>
    </row>
    <row r="337" spans="1:15" ht="17.25" customHeight="1" x14ac:dyDescent="0.2">
      <c r="A337" s="165"/>
      <c r="B337" s="607" t="s">
        <v>725</v>
      </c>
      <c r="C337" s="608"/>
      <c r="D337" s="608"/>
      <c r="E337" s="608"/>
      <c r="F337" s="155">
        <v>4044000</v>
      </c>
      <c r="G337" s="298"/>
      <c r="H337" s="442"/>
      <c r="I337" s="453"/>
      <c r="J337" s="299"/>
      <c r="K337" s="300"/>
    </row>
    <row r="338" spans="1:15" ht="17.25" customHeight="1" x14ac:dyDescent="0.2">
      <c r="A338" s="165"/>
      <c r="B338" s="127" t="s">
        <v>701</v>
      </c>
      <c r="C338" s="83"/>
      <c r="D338" s="83"/>
      <c r="E338" s="83"/>
      <c r="F338" s="155">
        <v>200000</v>
      </c>
      <c r="J338" s="96"/>
    </row>
    <row r="339" spans="1:15" ht="16.5" customHeight="1" x14ac:dyDescent="0.2">
      <c r="A339" s="121"/>
      <c r="B339" s="924" t="s">
        <v>342</v>
      </c>
      <c r="C339" s="924"/>
      <c r="D339" s="924"/>
      <c r="E339" s="924"/>
      <c r="F339" s="182">
        <f>SUM(F336:F338)</f>
        <v>6217090</v>
      </c>
      <c r="H339" s="437"/>
    </row>
    <row r="340" spans="1:15" ht="26.25" customHeight="1" x14ac:dyDescent="0.2">
      <c r="A340" s="165" t="s">
        <v>246</v>
      </c>
      <c r="B340" s="283" t="s">
        <v>273</v>
      </c>
      <c r="C340" s="284">
        <f>F339</f>
        <v>6217090</v>
      </c>
      <c r="D340" s="184">
        <v>0.27</v>
      </c>
      <c r="E340" s="284">
        <f>C340*D340</f>
        <v>1678614.3</v>
      </c>
      <c r="F340" s="182">
        <f>SUM(F341:F343)</f>
        <v>1672790</v>
      </c>
      <c r="H340" s="447"/>
      <c r="J340" s="96"/>
    </row>
    <row r="341" spans="1:15" x14ac:dyDescent="0.2">
      <c r="A341" s="165"/>
      <c r="B341" s="80" t="s">
        <v>726</v>
      </c>
      <c r="C341" s="83"/>
      <c r="D341" s="181"/>
      <c r="E341" s="83"/>
      <c r="F341" s="292">
        <v>526910</v>
      </c>
      <c r="H341" s="447"/>
      <c r="J341" s="96"/>
    </row>
    <row r="342" spans="1:15" x14ac:dyDescent="0.2">
      <c r="A342" s="165"/>
      <c r="B342" s="80" t="s">
        <v>727</v>
      </c>
      <c r="C342" s="83"/>
      <c r="D342" s="181"/>
      <c r="E342" s="83"/>
      <c r="F342" s="292">
        <v>1091880</v>
      </c>
      <c r="H342" s="447"/>
      <c r="J342" s="96"/>
    </row>
    <row r="343" spans="1:15" x14ac:dyDescent="0.2">
      <c r="A343" s="165"/>
      <c r="B343" s="80" t="s">
        <v>728</v>
      </c>
      <c r="C343" s="83"/>
      <c r="D343" s="181"/>
      <c r="E343" s="83"/>
      <c r="F343" s="292">
        <v>54000</v>
      </c>
      <c r="H343" s="447"/>
      <c r="J343" s="96"/>
    </row>
    <row r="344" spans="1:15" ht="26.25" customHeight="1" x14ac:dyDescent="0.2">
      <c r="A344" s="474" t="s">
        <v>294</v>
      </c>
      <c r="B344" s="283" t="s">
        <v>413</v>
      </c>
      <c r="C344" s="284"/>
      <c r="D344" s="184">
        <v>0.27</v>
      </c>
      <c r="E344" s="284"/>
      <c r="F344" s="182">
        <f>SUM(F345:F346)</f>
        <v>139341027</v>
      </c>
      <c r="H344" s="447"/>
      <c r="J344" s="96"/>
      <c r="K344" s="178"/>
      <c r="L344" s="178"/>
      <c r="M344" s="178"/>
      <c r="N344" s="111"/>
      <c r="O344" s="111"/>
    </row>
    <row r="345" spans="1:15" x14ac:dyDescent="0.2">
      <c r="A345" s="610"/>
      <c r="B345" s="611" t="s">
        <v>723</v>
      </c>
      <c r="C345" s="612"/>
      <c r="D345" s="475"/>
      <c r="E345" s="612"/>
      <c r="F345" s="613">
        <v>45094535</v>
      </c>
      <c r="H345" s="447"/>
      <c r="J345" s="96"/>
      <c r="K345" s="178"/>
      <c r="L345" s="178"/>
      <c r="M345" s="178"/>
      <c r="N345" s="111"/>
      <c r="O345" s="111"/>
    </row>
    <row r="346" spans="1:15" x14ac:dyDescent="0.2">
      <c r="A346" s="610"/>
      <c r="B346" s="611" t="s">
        <v>724</v>
      </c>
      <c r="C346" s="612"/>
      <c r="D346" s="475"/>
      <c r="E346" s="612"/>
      <c r="F346" s="613">
        <v>94246492</v>
      </c>
      <c r="H346" s="447"/>
      <c r="J346" s="96"/>
      <c r="K346" s="178"/>
      <c r="L346" s="178"/>
      <c r="M346" s="178"/>
      <c r="N346" s="111"/>
      <c r="O346" s="111"/>
    </row>
    <row r="347" spans="1:15" ht="26.25" customHeight="1" x14ac:dyDescent="0.2">
      <c r="A347" s="79" t="s">
        <v>295</v>
      </c>
      <c r="B347" s="283" t="s">
        <v>274</v>
      </c>
      <c r="C347" s="284">
        <f>F344</f>
        <v>139341027</v>
      </c>
      <c r="D347" s="184">
        <v>0.27</v>
      </c>
      <c r="E347" s="284"/>
      <c r="F347" s="182">
        <f>SUM(F348:F349)</f>
        <v>27343543</v>
      </c>
      <c r="H347" s="447"/>
      <c r="J347" s="96"/>
      <c r="K347" s="178"/>
      <c r="L347" s="178"/>
      <c r="M347" s="178"/>
      <c r="N347" s="111"/>
      <c r="O347" s="111"/>
    </row>
    <row r="348" spans="1:15" x14ac:dyDescent="0.2">
      <c r="A348" s="79"/>
      <c r="B348" s="80" t="s">
        <v>729</v>
      </c>
      <c r="C348" s="83"/>
      <c r="D348" s="181"/>
      <c r="E348" s="83"/>
      <c r="F348" s="292">
        <v>12175524</v>
      </c>
      <c r="H348" s="447"/>
      <c r="J348" s="96"/>
      <c r="K348" s="178"/>
      <c r="L348" s="178"/>
      <c r="M348" s="178"/>
      <c r="N348" s="111"/>
      <c r="O348" s="111"/>
    </row>
    <row r="349" spans="1:15" x14ac:dyDescent="0.2">
      <c r="A349" s="79"/>
      <c r="B349" s="80" t="s">
        <v>730</v>
      </c>
      <c r="C349" s="83"/>
      <c r="D349" s="181"/>
      <c r="E349" s="83"/>
      <c r="F349" s="292">
        <v>15168019</v>
      </c>
      <c r="H349" s="447"/>
      <c r="J349" s="96"/>
      <c r="K349" s="178"/>
      <c r="L349" s="178"/>
      <c r="M349" s="178"/>
      <c r="N349" s="111"/>
      <c r="O349" s="111"/>
    </row>
    <row r="350" spans="1:15" ht="33.75" customHeight="1" thickBot="1" x14ac:dyDescent="0.25">
      <c r="A350" s="89" t="s">
        <v>416</v>
      </c>
      <c r="B350" s="197" t="s">
        <v>417</v>
      </c>
      <c r="C350" s="198"/>
      <c r="D350" s="199"/>
      <c r="E350" s="198"/>
      <c r="F350" s="200">
        <v>0</v>
      </c>
      <c r="H350" s="447"/>
      <c r="J350" s="96"/>
      <c r="K350" s="178"/>
      <c r="L350" s="178"/>
      <c r="M350" s="178"/>
      <c r="N350" s="111"/>
      <c r="O350" s="111"/>
    </row>
    <row r="351" spans="1:15" ht="23.25" customHeight="1" thickBot="1" x14ac:dyDescent="0.25">
      <c r="A351" s="974" t="s">
        <v>276</v>
      </c>
      <c r="B351" s="974"/>
      <c r="C351" s="974"/>
      <c r="D351" s="974"/>
      <c r="E351" s="974"/>
      <c r="F351" s="302">
        <f>F289+F290+F291+F292+F293+F294+F305+F308+F309+F315+F317+F321+F322+F325+F326+F331+F332+F333+F339+F340+F347+F350+F298+F344+F334+F304</f>
        <v>190572268</v>
      </c>
      <c r="G351" s="177">
        <f>SUM(F351-'Kiadások COFOG szerint'!H197)</f>
        <v>0</v>
      </c>
      <c r="K351" s="178"/>
      <c r="L351" s="178"/>
      <c r="M351" s="178"/>
      <c r="N351" s="111"/>
      <c r="O351" s="111"/>
    </row>
    <row r="352" spans="1:15" ht="24" customHeight="1" thickBot="1" x14ac:dyDescent="0.25">
      <c r="A352" s="943" t="s">
        <v>132</v>
      </c>
      <c r="B352" s="943"/>
      <c r="C352" s="943"/>
      <c r="D352" s="943"/>
      <c r="E352" s="943"/>
      <c r="F352" s="943"/>
      <c r="K352" s="178"/>
      <c r="L352" s="178"/>
      <c r="M352" s="178"/>
      <c r="N352" s="111"/>
      <c r="O352" s="111"/>
    </row>
    <row r="353" spans="1:15" ht="23.25" customHeight="1" thickBot="1" x14ac:dyDescent="0.25">
      <c r="A353" s="928" t="s">
        <v>45</v>
      </c>
      <c r="B353" s="930" t="s">
        <v>46</v>
      </c>
      <c r="C353" s="932">
        <v>2023</v>
      </c>
      <c r="D353" s="932"/>
      <c r="E353" s="932"/>
      <c r="F353" s="932"/>
      <c r="G353" s="310" t="s">
        <v>668</v>
      </c>
      <c r="K353" s="178"/>
      <c r="L353" s="178"/>
      <c r="M353" s="178"/>
      <c r="N353" s="111"/>
      <c r="O353" s="111"/>
    </row>
    <row r="354" spans="1:15" ht="25.5" customHeight="1" thickBot="1" x14ac:dyDescent="0.25">
      <c r="A354" s="928"/>
      <c r="B354" s="930"/>
      <c r="C354" s="966"/>
      <c r="D354" s="966"/>
      <c r="E354" s="966"/>
      <c r="F354" s="560" t="s">
        <v>505</v>
      </c>
      <c r="H354" s="434" t="s">
        <v>544</v>
      </c>
      <c r="J354" s="101">
        <f>SUM('Bevételek COFOG szerint 2023'!H129)</f>
        <v>5226100</v>
      </c>
      <c r="K354" s="178"/>
      <c r="L354" s="178"/>
      <c r="M354" s="178"/>
      <c r="N354" s="111"/>
      <c r="O354" s="111"/>
    </row>
    <row r="355" spans="1:15" ht="15" customHeight="1" x14ac:dyDescent="0.2">
      <c r="A355" s="617" t="s">
        <v>139</v>
      </c>
      <c r="B355" s="526" t="s">
        <v>140</v>
      </c>
      <c r="C355" s="624"/>
      <c r="D355" s="344"/>
      <c r="E355" s="344"/>
      <c r="F355" s="625"/>
    </row>
    <row r="356" spans="1:15" ht="15" customHeight="1" x14ac:dyDescent="0.2">
      <c r="A356" s="165"/>
      <c r="B356" s="169" t="s">
        <v>686</v>
      </c>
      <c r="C356" s="91">
        <v>630000</v>
      </c>
      <c r="D356" s="162">
        <v>7</v>
      </c>
      <c r="E356" s="162" t="s">
        <v>306</v>
      </c>
      <c r="F356" s="201">
        <v>4410000</v>
      </c>
    </row>
    <row r="357" spans="1:15" ht="15" customHeight="1" x14ac:dyDescent="0.2">
      <c r="A357" s="76"/>
      <c r="B357" s="948" t="s">
        <v>343</v>
      </c>
      <c r="C357" s="948"/>
      <c r="D357" s="948"/>
      <c r="E357" s="948"/>
      <c r="F357" s="164">
        <f>SUM(F356)</f>
        <v>4410000</v>
      </c>
    </row>
    <row r="358" spans="1:15" ht="15" customHeight="1" x14ac:dyDescent="0.2">
      <c r="A358" s="282" t="s">
        <v>682</v>
      </c>
      <c r="B358" s="948" t="s">
        <v>687</v>
      </c>
      <c r="C358" s="948"/>
      <c r="D358" s="948"/>
      <c r="E358" s="948"/>
      <c r="F358" s="164">
        <f>SUM(F359:F360)</f>
        <v>0</v>
      </c>
    </row>
    <row r="359" spans="1:15" ht="15" customHeight="1" x14ac:dyDescent="0.2">
      <c r="A359" s="282"/>
      <c r="B359" s="77" t="s">
        <v>688</v>
      </c>
      <c r="C359" s="91"/>
      <c r="D359" s="162"/>
      <c r="E359" s="162"/>
      <c r="F359" s="163">
        <v>0</v>
      </c>
    </row>
    <row r="360" spans="1:15" ht="15" customHeight="1" x14ac:dyDescent="0.2">
      <c r="A360" s="282"/>
      <c r="B360" s="77" t="s">
        <v>660</v>
      </c>
      <c r="C360" s="91"/>
      <c r="D360" s="162"/>
      <c r="E360" s="162"/>
      <c r="F360" s="163">
        <v>0</v>
      </c>
    </row>
    <row r="361" spans="1:15" ht="15" customHeight="1" x14ac:dyDescent="0.2">
      <c r="A361" s="282" t="s">
        <v>418</v>
      </c>
      <c r="B361" s="948" t="s">
        <v>419</v>
      </c>
      <c r="C361" s="948"/>
      <c r="D361" s="948"/>
      <c r="E361" s="948"/>
      <c r="F361" s="164">
        <v>100000</v>
      </c>
    </row>
    <row r="362" spans="1:15" ht="15" customHeight="1" x14ac:dyDescent="0.2">
      <c r="A362" s="282" t="s">
        <v>530</v>
      </c>
      <c r="B362" s="948" t="s">
        <v>531</v>
      </c>
      <c r="C362" s="948"/>
      <c r="D362" s="948"/>
      <c r="E362" s="948" t="s">
        <v>306</v>
      </c>
      <c r="F362" s="164">
        <v>0</v>
      </c>
    </row>
    <row r="363" spans="1:15" ht="15" customHeight="1" x14ac:dyDescent="0.2">
      <c r="A363" s="282" t="s">
        <v>420</v>
      </c>
      <c r="B363" s="948" t="s">
        <v>421</v>
      </c>
      <c r="C363" s="948"/>
      <c r="D363" s="948"/>
      <c r="E363" s="948"/>
      <c r="F363" s="164">
        <v>200000</v>
      </c>
    </row>
    <row r="364" spans="1:15" ht="15" customHeight="1" x14ac:dyDescent="0.2">
      <c r="A364" s="282" t="s">
        <v>143</v>
      </c>
      <c r="B364" s="948" t="s">
        <v>144</v>
      </c>
      <c r="C364" s="948"/>
      <c r="D364" s="948"/>
      <c r="E364" s="948"/>
      <c r="F364" s="164"/>
    </row>
    <row r="365" spans="1:15" ht="15" customHeight="1" x14ac:dyDescent="0.2">
      <c r="A365" s="76" t="s">
        <v>145</v>
      </c>
      <c r="B365" s="948" t="s">
        <v>146</v>
      </c>
      <c r="C365" s="948"/>
      <c r="D365" s="948"/>
      <c r="E365" s="948"/>
      <c r="F365" s="164"/>
      <c r="K365" s="126"/>
    </row>
    <row r="366" spans="1:15" ht="15" customHeight="1" x14ac:dyDescent="0.2">
      <c r="A366" s="99" t="s">
        <v>288</v>
      </c>
      <c r="B366" s="948" t="s">
        <v>148</v>
      </c>
      <c r="C366" s="948"/>
      <c r="D366" s="948"/>
      <c r="E366" s="948"/>
      <c r="F366" s="164">
        <f>SUM(F367:F368)</f>
        <v>250000</v>
      </c>
      <c r="K366" s="126"/>
    </row>
    <row r="367" spans="1:15" ht="15" customHeight="1" x14ac:dyDescent="0.2">
      <c r="A367" s="99"/>
      <c r="B367" s="77" t="s">
        <v>545</v>
      </c>
      <c r="C367" s="336"/>
      <c r="D367" s="336"/>
      <c r="E367" s="336"/>
      <c r="F367" s="232">
        <v>34000</v>
      </c>
      <c r="K367" s="126"/>
    </row>
    <row r="368" spans="1:15" ht="15" customHeight="1" x14ac:dyDescent="0.2">
      <c r="A368" s="99"/>
      <c r="B368" s="77" t="s">
        <v>546</v>
      </c>
      <c r="C368" s="336"/>
      <c r="D368" s="336"/>
      <c r="E368" s="336"/>
      <c r="F368" s="232">
        <v>216000</v>
      </c>
      <c r="K368" s="126"/>
    </row>
    <row r="369" spans="1:11" ht="27" customHeight="1" x14ac:dyDescent="0.2">
      <c r="A369" s="99" t="s">
        <v>151</v>
      </c>
      <c r="B369" s="948" t="s">
        <v>152</v>
      </c>
      <c r="C369" s="948"/>
      <c r="D369" s="948"/>
      <c r="E369" s="948"/>
      <c r="F369" s="164">
        <f>SUM(F370:F371)</f>
        <v>1180000</v>
      </c>
    </row>
    <row r="370" spans="1:11" ht="15" customHeight="1" x14ac:dyDescent="0.2">
      <c r="A370" s="99"/>
      <c r="B370" s="77" t="s">
        <v>660</v>
      </c>
      <c r="C370" s="336">
        <v>80000</v>
      </c>
      <c r="D370" s="336">
        <v>1</v>
      </c>
      <c r="E370" s="336"/>
      <c r="F370" s="232">
        <f>SUM(C370*D370)</f>
        <v>80000</v>
      </c>
      <c r="K370" s="126"/>
    </row>
    <row r="371" spans="1:11" ht="15" customHeight="1" x14ac:dyDescent="0.2">
      <c r="A371" s="99"/>
      <c r="B371" s="77" t="s">
        <v>660</v>
      </c>
      <c r="C371" s="336">
        <v>100000</v>
      </c>
      <c r="D371" s="336">
        <v>11</v>
      </c>
      <c r="E371" s="336"/>
      <c r="F371" s="232">
        <f>SUM(C371*D371)</f>
        <v>1100000</v>
      </c>
      <c r="K371" s="126"/>
    </row>
    <row r="372" spans="1:11" ht="15" customHeight="1" x14ac:dyDescent="0.2">
      <c r="A372" s="556" t="s">
        <v>8</v>
      </c>
      <c r="B372" s="972" t="s">
        <v>9</v>
      </c>
      <c r="C372" s="972"/>
      <c r="D372" s="972"/>
      <c r="E372" s="973"/>
      <c r="F372" s="234">
        <f>SUM(F357+F361+F363+F365+F366+F369+F358)</f>
        <v>6140000</v>
      </c>
      <c r="K372" s="126"/>
    </row>
    <row r="373" spans="1:11" ht="18" customHeight="1" x14ac:dyDescent="0.2">
      <c r="A373" s="970" t="s">
        <v>344</v>
      </c>
      <c r="B373" s="925" t="s">
        <v>156</v>
      </c>
      <c r="C373" s="925"/>
      <c r="D373" s="925"/>
      <c r="E373" s="925"/>
      <c r="F373" s="925"/>
    </row>
    <row r="374" spans="1:11" ht="18" customHeight="1" x14ac:dyDescent="0.2">
      <c r="A374" s="970"/>
      <c r="B374" s="176" t="s">
        <v>622</v>
      </c>
      <c r="C374" s="336">
        <f>SUM(F363)</f>
        <v>200000</v>
      </c>
      <c r="D374" s="202">
        <v>0.15</v>
      </c>
      <c r="E374" s="176"/>
      <c r="F374" s="163">
        <f>SUM(C374*D374)</f>
        <v>30000</v>
      </c>
    </row>
    <row r="375" spans="1:11" ht="18" customHeight="1" x14ac:dyDescent="0.2">
      <c r="A375" s="970"/>
      <c r="B375" s="77" t="s">
        <v>156</v>
      </c>
      <c r="C375" s="91">
        <f>F357+F361+F365+F366+F363+F364+F369+F362+F358</f>
        <v>6140000</v>
      </c>
      <c r="D375" s="202">
        <v>0.13</v>
      </c>
      <c r="F375" s="163">
        <f>C375*D375</f>
        <v>798200</v>
      </c>
    </row>
    <row r="376" spans="1:11" ht="18" customHeight="1" x14ac:dyDescent="0.2">
      <c r="A376" s="970"/>
      <c r="B376" s="924" t="s">
        <v>623</v>
      </c>
      <c r="C376" s="924"/>
      <c r="D376" s="924"/>
      <c r="E376" s="924"/>
      <c r="F376" s="164">
        <v>815000</v>
      </c>
      <c r="H376" s="524"/>
    </row>
    <row r="377" spans="1:11" ht="18" customHeight="1" x14ac:dyDescent="0.2">
      <c r="A377" s="99" t="s">
        <v>159</v>
      </c>
      <c r="B377" s="246" t="s">
        <v>160</v>
      </c>
      <c r="C377" s="247"/>
      <c r="D377" s="431">
        <v>0.05</v>
      </c>
      <c r="E377" s="247"/>
      <c r="F377" s="234">
        <v>30000</v>
      </c>
      <c r="G377" s="177"/>
      <c r="H377" s="554">
        <f>SUM(F377*D377)</f>
        <v>1500</v>
      </c>
    </row>
    <row r="378" spans="1:11" ht="18" customHeight="1" x14ac:dyDescent="0.2">
      <c r="A378" s="76" t="s">
        <v>167</v>
      </c>
      <c r="B378" s="246" t="s">
        <v>168</v>
      </c>
      <c r="C378" s="247"/>
      <c r="D378" s="431">
        <v>0.27</v>
      </c>
      <c r="E378" s="247"/>
      <c r="F378" s="234">
        <f>SUM(F379:F380)</f>
        <v>150000</v>
      </c>
      <c r="G378" s="177"/>
      <c r="H378" s="554">
        <f>SUM(F378*D378)</f>
        <v>40500</v>
      </c>
    </row>
    <row r="379" spans="1:11" ht="18" customHeight="1" x14ac:dyDescent="0.2">
      <c r="A379" s="76"/>
      <c r="B379" s="77" t="s">
        <v>549</v>
      </c>
      <c r="C379" s="91"/>
      <c r="D379" s="172"/>
      <c r="E379" s="91">
        <v>50000</v>
      </c>
      <c r="F379" s="232">
        <v>50000</v>
      </c>
      <c r="G379" s="177"/>
      <c r="H379" s="554"/>
    </row>
    <row r="380" spans="1:11" ht="18" customHeight="1" x14ac:dyDescent="0.2">
      <c r="A380" s="76"/>
      <c r="B380" s="77" t="s">
        <v>579</v>
      </c>
      <c r="C380" s="91"/>
      <c r="D380" s="172"/>
      <c r="E380" s="91"/>
      <c r="F380" s="232">
        <v>100000</v>
      </c>
      <c r="G380" s="177"/>
      <c r="H380" s="554"/>
    </row>
    <row r="381" spans="1:11" ht="18" customHeight="1" x14ac:dyDescent="0.2">
      <c r="A381" s="99" t="s">
        <v>422</v>
      </c>
      <c r="B381" s="246" t="s">
        <v>318</v>
      </c>
      <c r="C381" s="247"/>
      <c r="D381" s="431"/>
      <c r="E381" s="247"/>
      <c r="F381" s="234">
        <f>SUM(F382)</f>
        <v>84000</v>
      </c>
      <c r="G381" s="177"/>
      <c r="H381" s="554"/>
    </row>
    <row r="382" spans="1:11" ht="18" customHeight="1" x14ac:dyDescent="0.2">
      <c r="A382" s="99"/>
      <c r="B382" s="77" t="s">
        <v>625</v>
      </c>
      <c r="C382" s="91">
        <v>7000</v>
      </c>
      <c r="D382" s="172">
        <v>0.05</v>
      </c>
      <c r="E382" s="91">
        <v>12</v>
      </c>
      <c r="F382" s="232">
        <f>SUM(C382*E382)</f>
        <v>84000</v>
      </c>
      <c r="G382" s="177"/>
      <c r="H382" s="554">
        <f>SUM(F382*D382)</f>
        <v>4200</v>
      </c>
    </row>
    <row r="383" spans="1:11" ht="18" customHeight="1" x14ac:dyDescent="0.2">
      <c r="A383" s="76" t="s">
        <v>182</v>
      </c>
      <c r="B383" s="246" t="s">
        <v>183</v>
      </c>
      <c r="C383" s="247"/>
      <c r="D383" s="431">
        <v>0.27</v>
      </c>
      <c r="E383" s="247"/>
      <c r="F383" s="234">
        <f>SUM(F384)</f>
        <v>180000</v>
      </c>
      <c r="G383" s="177"/>
      <c r="H383" s="554"/>
    </row>
    <row r="384" spans="1:11" ht="18" customHeight="1" x14ac:dyDescent="0.2">
      <c r="A384" s="76"/>
      <c r="B384" s="77" t="s">
        <v>626</v>
      </c>
      <c r="C384" s="91">
        <v>15000</v>
      </c>
      <c r="D384" s="172">
        <v>0.27</v>
      </c>
      <c r="E384" s="91">
        <v>12</v>
      </c>
      <c r="F384" s="232">
        <f>SUM(C384*E384)</f>
        <v>180000</v>
      </c>
      <c r="G384" s="177"/>
      <c r="H384" s="554">
        <f>SUM(F384*D384)</f>
        <v>48600</v>
      </c>
    </row>
    <row r="385" spans="1:8" ht="18" customHeight="1" x14ac:dyDescent="0.2">
      <c r="A385" s="76" t="s">
        <v>196</v>
      </c>
      <c r="B385" s="246" t="s">
        <v>197</v>
      </c>
      <c r="C385" s="247"/>
      <c r="D385" s="431">
        <v>0.27</v>
      </c>
      <c r="E385" s="247"/>
      <c r="F385" s="234">
        <v>50000</v>
      </c>
      <c r="G385" s="177"/>
      <c r="H385" s="554">
        <f t="shared" ref="H385:H390" si="9">SUM(F385*D385)</f>
        <v>13500</v>
      </c>
    </row>
    <row r="386" spans="1:8" ht="16.5" customHeight="1" x14ac:dyDescent="0.2">
      <c r="A386" s="971" t="s">
        <v>198</v>
      </c>
      <c r="B386" s="246" t="s">
        <v>199</v>
      </c>
      <c r="C386" s="247"/>
      <c r="D386" s="431"/>
      <c r="E386" s="247"/>
      <c r="F386" s="234">
        <f>SUM(F387:F388)</f>
        <v>110000</v>
      </c>
      <c r="G386" s="177"/>
      <c r="H386" s="554">
        <f t="shared" si="9"/>
        <v>0</v>
      </c>
    </row>
    <row r="387" spans="1:8" ht="16.5" customHeight="1" x14ac:dyDescent="0.2">
      <c r="A387" s="971"/>
      <c r="B387" s="176" t="s">
        <v>628</v>
      </c>
      <c r="C387" s="176"/>
      <c r="D387" s="550" t="s">
        <v>557</v>
      </c>
      <c r="E387" s="176"/>
      <c r="F387" s="163">
        <v>100000</v>
      </c>
      <c r="G387" s="177"/>
      <c r="H387" s="554"/>
    </row>
    <row r="388" spans="1:8" ht="15" customHeight="1" x14ac:dyDescent="0.2">
      <c r="A388" s="971"/>
      <c r="B388" s="77" t="s">
        <v>627</v>
      </c>
      <c r="C388" s="91"/>
      <c r="D388" s="172" t="s">
        <v>557</v>
      </c>
      <c r="E388" s="91"/>
      <c r="F388" s="163">
        <v>10000</v>
      </c>
      <c r="G388" s="177"/>
      <c r="H388" s="554"/>
    </row>
    <row r="389" spans="1:8" ht="17.25" customHeight="1" x14ac:dyDescent="0.2">
      <c r="A389" s="203" t="s">
        <v>202</v>
      </c>
      <c r="B389" s="246" t="s">
        <v>203</v>
      </c>
      <c r="C389" s="247"/>
      <c r="D389" s="431">
        <v>0.27</v>
      </c>
      <c r="E389" s="247"/>
      <c r="F389" s="234">
        <v>20000</v>
      </c>
      <c r="G389" s="177"/>
      <c r="H389" s="554">
        <f t="shared" si="9"/>
        <v>5400</v>
      </c>
    </row>
    <row r="390" spans="1:8" ht="18" customHeight="1" x14ac:dyDescent="0.2">
      <c r="A390" s="99" t="s">
        <v>289</v>
      </c>
      <c r="B390" s="246" t="s">
        <v>290</v>
      </c>
      <c r="C390" s="247"/>
      <c r="D390" s="431"/>
      <c r="E390" s="247"/>
      <c r="F390" s="234">
        <v>50000</v>
      </c>
      <c r="G390" s="177"/>
      <c r="H390" s="554">
        <f t="shared" si="9"/>
        <v>0</v>
      </c>
    </row>
    <row r="391" spans="1:8" ht="21.75" customHeight="1" x14ac:dyDescent="0.2">
      <c r="A391" s="165" t="s">
        <v>210</v>
      </c>
      <c r="B391" s="246" t="s">
        <v>268</v>
      </c>
      <c r="C391" s="247"/>
      <c r="D391" s="431"/>
      <c r="E391" s="247"/>
      <c r="F391" s="234">
        <v>110000</v>
      </c>
      <c r="G391" s="186"/>
      <c r="H391" s="555">
        <f>SUM(H377:H390)</f>
        <v>113700</v>
      </c>
    </row>
    <row r="392" spans="1:8" ht="19.5" customHeight="1" x14ac:dyDescent="0.2">
      <c r="A392" s="99" t="s">
        <v>242</v>
      </c>
      <c r="B392" s="948" t="s">
        <v>243</v>
      </c>
      <c r="C392" s="948"/>
      <c r="D392" s="948"/>
      <c r="E392" s="948"/>
      <c r="F392" s="164">
        <f>SUM(F393)</f>
        <v>44000</v>
      </c>
      <c r="G392" s="186"/>
      <c r="H392" s="553"/>
    </row>
    <row r="393" spans="1:8" ht="19.5" customHeight="1" x14ac:dyDescent="0.2">
      <c r="A393" s="79"/>
      <c r="B393" s="127" t="s">
        <v>763</v>
      </c>
      <c r="C393" s="127"/>
      <c r="D393" s="181"/>
      <c r="E393" s="127"/>
      <c r="F393" s="155">
        <v>44000</v>
      </c>
      <c r="G393" s="186"/>
      <c r="H393" s="553"/>
    </row>
    <row r="394" spans="1:8" ht="18" customHeight="1" x14ac:dyDescent="0.2">
      <c r="A394" s="203" t="s">
        <v>244</v>
      </c>
      <c r="B394" s="948" t="s">
        <v>347</v>
      </c>
      <c r="C394" s="948"/>
      <c r="D394" s="948"/>
      <c r="E394" s="948"/>
      <c r="F394" s="164"/>
      <c r="H394" s="524"/>
    </row>
    <row r="395" spans="1:8" ht="18" customHeight="1" x14ac:dyDescent="0.2">
      <c r="A395" s="203"/>
      <c r="B395" s="127" t="s">
        <v>763</v>
      </c>
      <c r="C395" s="127"/>
      <c r="D395" s="181"/>
      <c r="E395" s="127"/>
      <c r="F395" s="155"/>
      <c r="H395" s="524"/>
    </row>
    <row r="396" spans="1:8" ht="21.75" customHeight="1" x14ac:dyDescent="0.2">
      <c r="A396" s="203" t="s">
        <v>246</v>
      </c>
      <c r="B396" s="80" t="s">
        <v>273</v>
      </c>
      <c r="C396" s="83"/>
      <c r="D396" s="181">
        <v>0.27</v>
      </c>
      <c r="E396" s="83"/>
      <c r="F396" s="292">
        <v>12000</v>
      </c>
      <c r="H396" s="524"/>
    </row>
    <row r="397" spans="1:8" ht="21.75" customHeight="1" x14ac:dyDescent="0.2">
      <c r="A397" s="125" t="s">
        <v>248</v>
      </c>
      <c r="B397" s="967" t="s">
        <v>497</v>
      </c>
      <c r="C397" s="967"/>
      <c r="D397" s="967"/>
      <c r="E397" s="967"/>
      <c r="F397" s="292">
        <v>0</v>
      </c>
      <c r="H397" s="524"/>
    </row>
    <row r="398" spans="1:8" ht="21.75" customHeight="1" thickBot="1" x14ac:dyDescent="0.25">
      <c r="A398" s="366" t="s">
        <v>252</v>
      </c>
      <c r="B398" s="90" t="s">
        <v>274</v>
      </c>
      <c r="C398" s="285"/>
      <c r="D398" s="410">
        <v>0.27</v>
      </c>
      <c r="E398" s="285"/>
      <c r="F398" s="411">
        <v>0</v>
      </c>
      <c r="H398" s="524"/>
    </row>
    <row r="399" spans="1:8" ht="21.75" customHeight="1" thickBot="1" x14ac:dyDescent="0.25">
      <c r="A399" s="937" t="s">
        <v>276</v>
      </c>
      <c r="B399" s="937"/>
      <c r="C399" s="937"/>
      <c r="D399" s="937"/>
      <c r="E399" s="937"/>
      <c r="F399" s="185">
        <f>SUM(F372+F376+F377+F378+F381+F383+F385+F389+F390+F391+F386+F394+F396+F397+F398+F392)</f>
        <v>7795000</v>
      </c>
      <c r="G399" s="177">
        <f>SUM(F399-'Kiadások COFOG szerint'!H225)</f>
        <v>0</v>
      </c>
      <c r="H399" s="524"/>
    </row>
    <row r="400" spans="1:8" ht="21.75" customHeight="1" thickBot="1" x14ac:dyDescent="0.25">
      <c r="A400" s="938" t="s">
        <v>425</v>
      </c>
      <c r="B400" s="938"/>
      <c r="C400" s="938"/>
      <c r="D400" s="938"/>
      <c r="E400" s="938"/>
      <c r="F400" s="938"/>
      <c r="H400" s="524"/>
    </row>
    <row r="401" spans="1:7" ht="21.75" customHeight="1" thickBot="1" x14ac:dyDescent="0.25">
      <c r="A401" s="928" t="s">
        <v>45</v>
      </c>
      <c r="B401" s="930" t="s">
        <v>46</v>
      </c>
      <c r="C401" s="932">
        <v>2023</v>
      </c>
      <c r="D401" s="932"/>
      <c r="E401" s="932"/>
      <c r="F401" s="932"/>
    </row>
    <row r="402" spans="1:7" ht="21.75" customHeight="1" thickBot="1" x14ac:dyDescent="0.25">
      <c r="A402" s="928"/>
      <c r="B402" s="930"/>
      <c r="C402" s="966"/>
      <c r="D402" s="966"/>
      <c r="E402" s="966"/>
      <c r="F402" s="560" t="s">
        <v>505</v>
      </c>
    </row>
    <row r="403" spans="1:7" ht="21.75" customHeight="1" x14ac:dyDescent="0.2">
      <c r="A403" s="1003" t="s">
        <v>198</v>
      </c>
      <c r="B403" s="316" t="s">
        <v>199</v>
      </c>
      <c r="C403" s="344" t="s">
        <v>426</v>
      </c>
      <c r="D403" s="595">
        <v>8000</v>
      </c>
      <c r="E403" s="344">
        <v>3</v>
      </c>
      <c r="F403" s="317">
        <f>SUM(D403*E403)</f>
        <v>24000</v>
      </c>
    </row>
    <row r="404" spans="1:7" ht="21.75" customHeight="1" thickBot="1" x14ac:dyDescent="0.25">
      <c r="A404" s="1004"/>
      <c r="B404" s="122" t="s">
        <v>199</v>
      </c>
      <c r="C404" s="123" t="s">
        <v>426</v>
      </c>
      <c r="D404" s="223">
        <v>8700</v>
      </c>
      <c r="E404" s="285">
        <v>12</v>
      </c>
      <c r="F404" s="596">
        <f>SUM(D404*E404)</f>
        <v>104400</v>
      </c>
    </row>
    <row r="405" spans="1:7" ht="21.75" customHeight="1" thickBot="1" x14ac:dyDescent="0.25">
      <c r="A405" s="937" t="s">
        <v>276</v>
      </c>
      <c r="B405" s="937"/>
      <c r="C405" s="937"/>
      <c r="D405" s="937"/>
      <c r="E405" s="937"/>
      <c r="F405" s="185">
        <f>SUM(F403:F404)</f>
        <v>128400</v>
      </c>
      <c r="G405" s="177">
        <f>SUM(F405-'Kiadások COFOG szerint'!H230)</f>
        <v>0</v>
      </c>
    </row>
    <row r="406" spans="1:7" ht="23.25" customHeight="1" thickBot="1" x14ac:dyDescent="0.25">
      <c r="A406" s="938" t="s">
        <v>428</v>
      </c>
      <c r="B406" s="938"/>
      <c r="C406" s="938"/>
      <c r="D406" s="938"/>
      <c r="E406" s="938"/>
      <c r="F406" s="938"/>
    </row>
    <row r="407" spans="1:7" ht="18" customHeight="1" thickBot="1" x14ac:dyDescent="0.25">
      <c r="A407" s="928" t="s">
        <v>45</v>
      </c>
      <c r="B407" s="930" t="s">
        <v>46</v>
      </c>
      <c r="C407" s="932">
        <v>2023</v>
      </c>
      <c r="D407" s="932"/>
      <c r="E407" s="932"/>
      <c r="F407" s="932"/>
    </row>
    <row r="408" spans="1:7" ht="25.5" customHeight="1" thickBot="1" x14ac:dyDescent="0.25">
      <c r="A408" s="928"/>
      <c r="B408" s="930"/>
      <c r="C408" s="933"/>
      <c r="D408" s="933"/>
      <c r="E408" s="933"/>
      <c r="F408" s="159" t="s">
        <v>505</v>
      </c>
    </row>
    <row r="409" spans="1:7" ht="21" x14ac:dyDescent="0.2">
      <c r="A409" s="318" t="s">
        <v>151</v>
      </c>
      <c r="B409" s="526" t="s">
        <v>152</v>
      </c>
      <c r="C409" s="344"/>
      <c r="D409" s="527"/>
      <c r="E409" s="344"/>
      <c r="F409" s="317"/>
    </row>
    <row r="410" spans="1:7" ht="15" customHeight="1" x14ac:dyDescent="0.2">
      <c r="A410" s="282" t="s">
        <v>151</v>
      </c>
      <c r="B410" s="77" t="s">
        <v>429</v>
      </c>
      <c r="C410" s="91">
        <f>SUM(F409)</f>
        <v>0</v>
      </c>
      <c r="D410" s="167">
        <v>0.13</v>
      </c>
      <c r="E410" s="91">
        <f>SUM(C410*D410)</f>
        <v>0</v>
      </c>
      <c r="F410" s="232"/>
    </row>
    <row r="411" spans="1:7" ht="15" customHeight="1" x14ac:dyDescent="0.2">
      <c r="A411" s="282" t="s">
        <v>167</v>
      </c>
      <c r="B411" s="77" t="s">
        <v>168</v>
      </c>
      <c r="C411" s="91"/>
      <c r="D411" s="172">
        <v>0.27</v>
      </c>
      <c r="E411" s="91"/>
      <c r="F411" s="232"/>
    </row>
    <row r="412" spans="1:7" ht="15" customHeight="1" x14ac:dyDescent="0.2">
      <c r="A412" s="282" t="s">
        <v>202</v>
      </c>
      <c r="B412" s="77" t="s">
        <v>405</v>
      </c>
      <c r="C412" s="91"/>
      <c r="D412" s="172">
        <v>0.27</v>
      </c>
      <c r="E412" s="91"/>
      <c r="F412" s="232"/>
    </row>
    <row r="413" spans="1:7" ht="24" customHeight="1" x14ac:dyDescent="0.2">
      <c r="A413" s="99" t="s">
        <v>210</v>
      </c>
      <c r="B413" s="77" t="s">
        <v>268</v>
      </c>
      <c r="C413" s="91">
        <f>F411+F412</f>
        <v>0</v>
      </c>
      <c r="D413" s="172">
        <v>0.27</v>
      </c>
      <c r="E413" s="162">
        <f>SUM(C413*D413)</f>
        <v>0</v>
      </c>
      <c r="F413" s="232"/>
      <c r="G413" s="177" t="s">
        <v>512</v>
      </c>
    </row>
    <row r="414" spans="1:7" ht="18" customHeight="1" x14ac:dyDescent="0.2">
      <c r="A414" s="99" t="s">
        <v>244</v>
      </c>
      <c r="B414" s="77" t="s">
        <v>477</v>
      </c>
      <c r="C414" s="91"/>
      <c r="D414" s="172">
        <v>0.27</v>
      </c>
      <c r="E414" s="162"/>
      <c r="F414" s="232"/>
      <c r="G414" s="177"/>
    </row>
    <row r="415" spans="1:7" ht="18" customHeight="1" x14ac:dyDescent="0.2">
      <c r="A415" s="79"/>
      <c r="B415" s="80" t="s">
        <v>602</v>
      </c>
      <c r="C415" s="83"/>
      <c r="D415" s="172">
        <v>0.27</v>
      </c>
      <c r="E415" s="191"/>
      <c r="F415" s="155"/>
      <c r="G415" s="177"/>
    </row>
    <row r="416" spans="1:7" ht="21.75" customHeight="1" thickBot="1" x14ac:dyDescent="0.25">
      <c r="A416" s="79" t="s">
        <v>246</v>
      </c>
      <c r="B416" s="80" t="s">
        <v>273</v>
      </c>
      <c r="C416" s="83">
        <f>F414</f>
        <v>0</v>
      </c>
      <c r="D416" s="172">
        <v>0.27</v>
      </c>
      <c r="E416" s="191">
        <f>C416*D416</f>
        <v>0</v>
      </c>
      <c r="F416" s="292"/>
      <c r="G416" s="177"/>
    </row>
    <row r="417" spans="1:11" ht="21.75" customHeight="1" thickBot="1" x14ac:dyDescent="0.25">
      <c r="A417" s="937" t="s">
        <v>276</v>
      </c>
      <c r="B417" s="937"/>
      <c r="C417" s="937"/>
      <c r="D417" s="937"/>
      <c r="E417" s="937"/>
      <c r="F417" s="185">
        <f>SUM(F409,F410,F411,F412,F413,F414,F416)</f>
        <v>0</v>
      </c>
      <c r="G417" s="177">
        <f>SUM(F417-'Kiadások COFOG szerint'!H248)</f>
        <v>0</v>
      </c>
    </row>
    <row r="418" spans="1:11" ht="24" customHeight="1" thickBot="1" x14ac:dyDescent="0.25">
      <c r="A418" s="943" t="s">
        <v>292</v>
      </c>
      <c r="B418" s="943"/>
      <c r="C418" s="943"/>
      <c r="D418" s="943"/>
      <c r="E418" s="943"/>
      <c r="F418" s="943"/>
    </row>
    <row r="419" spans="1:11" ht="21" customHeight="1" thickBot="1" x14ac:dyDescent="0.25">
      <c r="A419" s="929" t="s">
        <v>45</v>
      </c>
      <c r="B419" s="931" t="s">
        <v>46</v>
      </c>
      <c r="C419" s="932">
        <v>2023</v>
      </c>
      <c r="D419" s="932"/>
      <c r="E419" s="932"/>
      <c r="F419" s="932"/>
    </row>
    <row r="420" spans="1:11" ht="24" customHeight="1" thickBot="1" x14ac:dyDescent="0.25">
      <c r="A420" s="929"/>
      <c r="B420" s="931"/>
      <c r="C420" s="933"/>
      <c r="D420" s="933"/>
      <c r="E420" s="933"/>
      <c r="F420" s="159" t="s">
        <v>505</v>
      </c>
    </row>
    <row r="421" spans="1:11" ht="22.5" customHeight="1" thickBot="1" x14ac:dyDescent="0.25">
      <c r="A421" s="968" t="s">
        <v>236</v>
      </c>
      <c r="B421" s="122" t="s">
        <v>293</v>
      </c>
      <c r="C421" s="959" t="s">
        <v>431</v>
      </c>
      <c r="D421" s="959"/>
      <c r="E421" s="959"/>
      <c r="F421" s="187">
        <v>100000</v>
      </c>
      <c r="G421" s="177"/>
      <c r="J421" s="139"/>
    </row>
    <row r="422" spans="1:11" ht="22.5" customHeight="1" thickBot="1" x14ac:dyDescent="0.25">
      <c r="A422" s="968"/>
      <c r="B422" s="960"/>
      <c r="C422" s="954" t="s">
        <v>467</v>
      </c>
      <c r="D422" s="954"/>
      <c r="E422" s="954"/>
      <c r="F422" s="155">
        <v>250000</v>
      </c>
      <c r="G422" s="177"/>
      <c r="J422" s="139"/>
    </row>
    <row r="423" spans="1:11" ht="22.5" customHeight="1" thickBot="1" x14ac:dyDescent="0.25">
      <c r="A423" s="968"/>
      <c r="B423" s="961"/>
      <c r="C423" s="954" t="s">
        <v>432</v>
      </c>
      <c r="D423" s="954"/>
      <c r="E423" s="954"/>
      <c r="F423" s="155">
        <v>50000</v>
      </c>
      <c r="G423" s="177"/>
      <c r="J423" s="105"/>
      <c r="K423" s="178"/>
    </row>
    <row r="424" spans="1:11" ht="22.5" customHeight="1" thickBot="1" x14ac:dyDescent="0.25">
      <c r="A424" s="968"/>
      <c r="B424" s="961"/>
      <c r="C424" s="954" t="s">
        <v>433</v>
      </c>
      <c r="D424" s="954"/>
      <c r="E424" s="954"/>
      <c r="F424" s="155">
        <v>2800000</v>
      </c>
      <c r="G424" s="177"/>
      <c r="J424" s="105"/>
      <c r="K424" s="178"/>
    </row>
    <row r="425" spans="1:11" ht="22.5" customHeight="1" thickBot="1" x14ac:dyDescent="0.25">
      <c r="A425" s="968"/>
      <c r="B425" s="961"/>
      <c r="C425" s="963" t="s">
        <v>536</v>
      </c>
      <c r="D425" s="964"/>
      <c r="E425" s="965"/>
      <c r="F425" s="155">
        <v>250000</v>
      </c>
      <c r="G425" s="177"/>
      <c r="J425" s="105"/>
      <c r="K425" s="178"/>
    </row>
    <row r="426" spans="1:11" ht="22.5" customHeight="1" thickBot="1" x14ac:dyDescent="0.25">
      <c r="A426" s="968"/>
      <c r="B426" s="961"/>
      <c r="C426" s="954" t="s">
        <v>434</v>
      </c>
      <c r="D426" s="954"/>
      <c r="E426" s="954"/>
      <c r="F426" s="155">
        <v>50000</v>
      </c>
      <c r="G426" s="177"/>
      <c r="J426" s="105"/>
      <c r="K426" s="178"/>
    </row>
    <row r="427" spans="1:11" ht="22.5" customHeight="1" thickBot="1" x14ac:dyDescent="0.25">
      <c r="A427" s="968"/>
      <c r="B427" s="961"/>
      <c r="C427" s="954" t="s">
        <v>435</v>
      </c>
      <c r="D427" s="954"/>
      <c r="E427" s="954"/>
      <c r="F427" s="155">
        <v>400000</v>
      </c>
      <c r="G427" s="177"/>
      <c r="J427" s="105"/>
      <c r="K427" s="178"/>
    </row>
    <row r="428" spans="1:11" ht="22.5" customHeight="1" thickBot="1" x14ac:dyDescent="0.25">
      <c r="A428" s="968"/>
      <c r="B428" s="961"/>
      <c r="C428" s="954" t="s">
        <v>436</v>
      </c>
      <c r="D428" s="954"/>
      <c r="E428" s="954"/>
      <c r="F428" s="155">
        <v>400000</v>
      </c>
      <c r="G428" s="177"/>
      <c r="J428" s="105"/>
      <c r="K428" s="178"/>
    </row>
    <row r="429" spans="1:11" ht="22.5" customHeight="1" thickBot="1" x14ac:dyDescent="0.25">
      <c r="A429" s="968"/>
      <c r="B429" s="961"/>
      <c r="C429" s="954" t="s">
        <v>437</v>
      </c>
      <c r="D429" s="954"/>
      <c r="E429" s="954"/>
      <c r="F429" s="155">
        <v>200000</v>
      </c>
      <c r="G429" s="177"/>
      <c r="J429" s="105"/>
      <c r="K429" s="178"/>
    </row>
    <row r="430" spans="1:11" ht="22.5" customHeight="1" thickBot="1" x14ac:dyDescent="0.25">
      <c r="A430" s="968"/>
      <c r="B430" s="961"/>
      <c r="C430" s="954" t="s">
        <v>438</v>
      </c>
      <c r="D430" s="954"/>
      <c r="E430" s="954"/>
      <c r="F430" s="155">
        <v>400000</v>
      </c>
      <c r="G430" s="177"/>
      <c r="J430" s="105"/>
      <c r="K430" s="178"/>
    </row>
    <row r="431" spans="1:11" ht="22.5" customHeight="1" thickBot="1" x14ac:dyDescent="0.25">
      <c r="A431" s="968"/>
      <c r="B431" s="961"/>
      <c r="C431" s="954" t="s">
        <v>537</v>
      </c>
      <c r="D431" s="954"/>
      <c r="E431" s="954"/>
      <c r="F431" s="155">
        <v>200000</v>
      </c>
      <c r="G431" s="177"/>
      <c r="J431" s="105"/>
      <c r="K431" s="178"/>
    </row>
    <row r="432" spans="1:11" ht="22.5" customHeight="1" thickBot="1" x14ac:dyDescent="0.25">
      <c r="A432" s="968"/>
      <c r="B432" s="961"/>
      <c r="C432" s="955" t="s">
        <v>445</v>
      </c>
      <c r="D432" s="955"/>
      <c r="E432" s="955"/>
      <c r="F432" s="476">
        <v>469700</v>
      </c>
      <c r="G432" s="177"/>
      <c r="J432" s="105"/>
      <c r="K432" s="178"/>
    </row>
    <row r="433" spans="1:16" ht="22.5" customHeight="1" thickBot="1" x14ac:dyDescent="0.25">
      <c r="A433" s="968"/>
      <c r="B433" s="961"/>
      <c r="C433" s="954" t="s">
        <v>439</v>
      </c>
      <c r="D433" s="954"/>
      <c r="E433" s="954"/>
      <c r="F433" s="155">
        <v>100000</v>
      </c>
      <c r="G433" s="177"/>
      <c r="J433" s="105"/>
      <c r="K433" s="178"/>
    </row>
    <row r="434" spans="1:16" ht="22.5" customHeight="1" thickBot="1" x14ac:dyDescent="0.25">
      <c r="A434" s="968"/>
      <c r="B434" s="961"/>
      <c r="C434" s="954" t="s">
        <v>440</v>
      </c>
      <c r="D434" s="954"/>
      <c r="E434" s="954"/>
      <c r="F434" s="155">
        <v>0</v>
      </c>
      <c r="G434" s="177"/>
      <c r="J434" s="105"/>
      <c r="K434" s="178"/>
    </row>
    <row r="435" spans="1:16" ht="21" customHeight="1" thickBot="1" x14ac:dyDescent="0.25">
      <c r="A435" s="968"/>
      <c r="B435" s="961"/>
      <c r="C435" s="954" t="s">
        <v>441</v>
      </c>
      <c r="D435" s="954"/>
      <c r="E435" s="954"/>
      <c r="F435" s="155">
        <v>0</v>
      </c>
      <c r="G435" s="177"/>
      <c r="J435" s="105"/>
      <c r="K435" s="178"/>
    </row>
    <row r="436" spans="1:16" ht="21.75" customHeight="1" thickBot="1" x14ac:dyDescent="0.25">
      <c r="A436" s="968"/>
      <c r="B436" s="961"/>
      <c r="C436" s="954" t="s">
        <v>442</v>
      </c>
      <c r="D436" s="954"/>
      <c r="E436" s="954"/>
      <c r="F436" s="155">
        <v>150000</v>
      </c>
      <c r="G436" s="177"/>
      <c r="J436" s="105"/>
      <c r="K436" s="178"/>
    </row>
    <row r="437" spans="1:16" ht="21.75" customHeight="1" thickBot="1" x14ac:dyDescent="0.25">
      <c r="A437" s="968"/>
      <c r="B437" s="961"/>
      <c r="C437" s="954" t="s">
        <v>446</v>
      </c>
      <c r="D437" s="954"/>
      <c r="E437" s="954"/>
      <c r="F437" s="155">
        <v>70000</v>
      </c>
      <c r="G437" s="177"/>
      <c r="J437" s="111"/>
    </row>
    <row r="438" spans="1:16" ht="21.75" customHeight="1" thickBot="1" x14ac:dyDescent="0.25">
      <c r="A438" s="968"/>
      <c r="B438" s="961"/>
      <c r="C438" s="954" t="s">
        <v>443</v>
      </c>
      <c r="D438" s="954"/>
      <c r="E438" s="954"/>
      <c r="F438" s="155">
        <v>300000</v>
      </c>
      <c r="G438" s="177"/>
      <c r="J438" s="139"/>
    </row>
    <row r="439" spans="1:16" ht="21.75" customHeight="1" thickBot="1" x14ac:dyDescent="0.25">
      <c r="A439" s="969"/>
      <c r="B439" s="961"/>
      <c r="C439" s="962" t="s">
        <v>444</v>
      </c>
      <c r="D439" s="962"/>
      <c r="E439" s="962"/>
      <c r="F439" s="155">
        <v>100000</v>
      </c>
      <c r="G439" s="177"/>
      <c r="J439" s="139"/>
    </row>
    <row r="440" spans="1:16" ht="24" customHeight="1" thickBot="1" x14ac:dyDescent="0.25">
      <c r="A440" s="937" t="s">
        <v>276</v>
      </c>
      <c r="B440" s="937"/>
      <c r="C440" s="937"/>
      <c r="D440" s="937"/>
      <c r="E440" s="926"/>
      <c r="F440" s="185">
        <f>SUM(F421:F439)</f>
        <v>6289700</v>
      </c>
      <c r="G440" s="177">
        <f>SUM(F440-'Kiadások COFOG szerint'!H253)</f>
        <v>0</v>
      </c>
    </row>
    <row r="441" spans="1:16" ht="24.75" customHeight="1" thickBot="1" x14ac:dyDescent="0.25">
      <c r="A441" s="943" t="s">
        <v>134</v>
      </c>
      <c r="B441" s="943"/>
      <c r="C441" s="943"/>
      <c r="D441" s="943"/>
      <c r="E441" s="943"/>
      <c r="F441" s="943"/>
    </row>
    <row r="442" spans="1:16" ht="21.75" customHeight="1" thickBot="1" x14ac:dyDescent="0.25">
      <c r="A442" s="928" t="s">
        <v>45</v>
      </c>
      <c r="B442" s="930" t="s">
        <v>46</v>
      </c>
      <c r="C442" s="932">
        <v>2023</v>
      </c>
      <c r="D442" s="932"/>
      <c r="E442" s="932"/>
      <c r="F442" s="932"/>
      <c r="M442" s="34"/>
      <c r="N442" s="34"/>
      <c r="O442" s="34"/>
      <c r="P442" s="34"/>
    </row>
    <row r="443" spans="1:16" ht="24.75" customHeight="1" thickBot="1" x14ac:dyDescent="0.25">
      <c r="A443" s="928"/>
      <c r="B443" s="930"/>
      <c r="C443" s="933"/>
      <c r="D443" s="933"/>
      <c r="E443" s="933"/>
      <c r="F443" s="159" t="s">
        <v>505</v>
      </c>
      <c r="O443" s="144"/>
    </row>
    <row r="444" spans="1:16" ht="12.75" customHeight="1" x14ac:dyDescent="0.2">
      <c r="A444" s="188" t="s">
        <v>139</v>
      </c>
      <c r="B444" s="947" t="s">
        <v>140</v>
      </c>
      <c r="C444" s="947"/>
      <c r="D444" s="947"/>
      <c r="E444" s="947"/>
      <c r="F444" s="947"/>
      <c r="O444" s="145"/>
    </row>
    <row r="445" spans="1:16" ht="21.75" customHeight="1" x14ac:dyDescent="0.2">
      <c r="A445" s="165"/>
      <c r="B445" s="169" t="s">
        <v>689</v>
      </c>
      <c r="C445" s="91">
        <v>288000</v>
      </c>
      <c r="D445" s="162">
        <v>1</v>
      </c>
      <c r="E445" s="162" t="s">
        <v>306</v>
      </c>
      <c r="F445" s="163">
        <f t="shared" ref="F445:F446" si="10">SUM(C445*D445)</f>
        <v>288000</v>
      </c>
      <c r="J445" s="96"/>
      <c r="O445" s="145"/>
    </row>
    <row r="446" spans="1:16" ht="21" customHeight="1" x14ac:dyDescent="0.2">
      <c r="A446" s="165"/>
      <c r="B446" s="77" t="s">
        <v>690</v>
      </c>
      <c r="C446" s="91">
        <v>324400</v>
      </c>
      <c r="D446" s="162">
        <v>11</v>
      </c>
      <c r="E446" s="162" t="s">
        <v>306</v>
      </c>
      <c r="F446" s="163">
        <f t="shared" si="10"/>
        <v>3568400</v>
      </c>
      <c r="G446" s="388"/>
      <c r="O446" s="145"/>
    </row>
    <row r="447" spans="1:16" ht="21" customHeight="1" x14ac:dyDescent="0.2">
      <c r="A447" s="165"/>
      <c r="B447" s="517" t="s">
        <v>591</v>
      </c>
      <c r="C447" s="586">
        <v>230000</v>
      </c>
      <c r="D447" s="587">
        <v>1</v>
      </c>
      <c r="E447" s="306" t="s">
        <v>306</v>
      </c>
      <c r="F447" s="163">
        <f>SUM(C447*D447)</f>
        <v>230000</v>
      </c>
      <c r="G447" s="525">
        <f>SUM(F445:F448)</f>
        <v>6836400</v>
      </c>
      <c r="O447" s="145"/>
    </row>
    <row r="448" spans="1:16" ht="21" customHeight="1" x14ac:dyDescent="0.2">
      <c r="A448" s="165"/>
      <c r="B448" s="517" t="s">
        <v>591</v>
      </c>
      <c r="C448" s="586">
        <v>250000</v>
      </c>
      <c r="D448" s="587">
        <v>11</v>
      </c>
      <c r="E448" s="306" t="s">
        <v>306</v>
      </c>
      <c r="F448" s="163">
        <f>SUM(C448*D448)</f>
        <v>2750000</v>
      </c>
      <c r="G448" s="525"/>
      <c r="O448" s="145"/>
    </row>
    <row r="449" spans="1:15" ht="18" customHeight="1" x14ac:dyDescent="0.2">
      <c r="A449" s="121"/>
      <c r="B449" s="948" t="s">
        <v>346</v>
      </c>
      <c r="C449" s="948"/>
      <c r="D449" s="948"/>
      <c r="E449" s="948"/>
      <c r="F449" s="472">
        <v>6900000</v>
      </c>
      <c r="O449" s="145"/>
    </row>
    <row r="450" spans="1:15" ht="15.75" customHeight="1" x14ac:dyDescent="0.2">
      <c r="A450" s="282" t="s">
        <v>420</v>
      </c>
      <c r="B450" s="948" t="s">
        <v>421</v>
      </c>
      <c r="C450" s="948"/>
      <c r="D450" s="948"/>
      <c r="E450" s="948" t="s">
        <v>306</v>
      </c>
      <c r="F450" s="472">
        <f>SUM(F451:F452)</f>
        <v>250000</v>
      </c>
      <c r="O450" s="145"/>
    </row>
    <row r="451" spans="1:15" x14ac:dyDescent="0.2">
      <c r="A451" s="79"/>
      <c r="B451" s="597" t="s">
        <v>692</v>
      </c>
      <c r="C451" s="588"/>
      <c r="D451" s="315"/>
      <c r="E451" s="315"/>
      <c r="F451" s="163">
        <v>200000</v>
      </c>
      <c r="G451" s="298"/>
      <c r="H451" s="442"/>
      <c r="I451" s="453"/>
      <c r="J451" s="299"/>
      <c r="K451" s="393"/>
    </row>
    <row r="452" spans="1:15" x14ac:dyDescent="0.2">
      <c r="A452" s="79"/>
      <c r="B452" s="597" t="s">
        <v>591</v>
      </c>
      <c r="C452" s="588"/>
      <c r="D452" s="315"/>
      <c r="E452" s="315"/>
      <c r="F452" s="163">
        <v>50000</v>
      </c>
      <c r="G452" s="298"/>
      <c r="H452" s="442"/>
      <c r="I452" s="453"/>
      <c r="J452" s="299"/>
      <c r="K452" s="393"/>
    </row>
    <row r="453" spans="1:15" ht="24.75" customHeight="1" x14ac:dyDescent="0.2">
      <c r="A453" s="99" t="s">
        <v>145</v>
      </c>
      <c r="B453" s="314" t="s">
        <v>339</v>
      </c>
      <c r="C453" s="161">
        <v>0</v>
      </c>
      <c r="D453" s="315">
        <v>0</v>
      </c>
      <c r="E453" s="315" t="s">
        <v>306</v>
      </c>
      <c r="F453" s="163"/>
      <c r="G453" s="298" t="s">
        <v>511</v>
      </c>
      <c r="H453" s="442"/>
      <c r="I453" s="453"/>
      <c r="J453" s="299"/>
      <c r="K453" s="393">
        <v>14791317</v>
      </c>
    </row>
    <row r="454" spans="1:15" x14ac:dyDescent="0.2">
      <c r="A454" s="99" t="s">
        <v>147</v>
      </c>
      <c r="B454" s="948" t="s">
        <v>148</v>
      </c>
      <c r="C454" s="948"/>
      <c r="D454" s="948"/>
      <c r="E454" s="948"/>
      <c r="F454" s="472">
        <f>SUM(F455:F458)</f>
        <v>260000</v>
      </c>
      <c r="G454" s="298"/>
      <c r="H454" s="442"/>
      <c r="I454" s="453"/>
      <c r="J454" s="299"/>
      <c r="K454" s="393"/>
    </row>
    <row r="455" spans="1:15" x14ac:dyDescent="0.2">
      <c r="A455" s="79"/>
      <c r="B455" s="597" t="s">
        <v>684</v>
      </c>
      <c r="C455" s="588">
        <v>4000</v>
      </c>
      <c r="D455" s="315">
        <v>1</v>
      </c>
      <c r="E455" s="315"/>
      <c r="F455" s="163">
        <f>SUM(C455*D455)</f>
        <v>4000</v>
      </c>
      <c r="G455" s="298"/>
      <c r="H455" s="442"/>
      <c r="I455" s="453"/>
      <c r="J455" s="299"/>
      <c r="K455" s="393"/>
    </row>
    <row r="456" spans="1:15" x14ac:dyDescent="0.2">
      <c r="A456" s="79"/>
      <c r="B456" s="597" t="s">
        <v>685</v>
      </c>
      <c r="C456" s="588">
        <v>5000</v>
      </c>
      <c r="D456" s="315">
        <v>11</v>
      </c>
      <c r="E456" s="315"/>
      <c r="F456" s="163">
        <f>SUM(C456*D456)</f>
        <v>55000</v>
      </c>
      <c r="G456" s="298"/>
      <c r="H456" s="442"/>
      <c r="I456" s="453"/>
      <c r="J456" s="299"/>
      <c r="K456" s="393"/>
    </row>
    <row r="457" spans="1:15" x14ac:dyDescent="0.2">
      <c r="A457" s="79"/>
      <c r="B457" s="597" t="s">
        <v>691</v>
      </c>
      <c r="C457" s="588"/>
      <c r="D457" s="315"/>
      <c r="E457" s="315"/>
      <c r="F457" s="163">
        <v>12000</v>
      </c>
      <c r="G457" s="298"/>
      <c r="H457" s="442"/>
      <c r="I457" s="453"/>
      <c r="J457" s="299"/>
      <c r="K457" s="393"/>
    </row>
    <row r="458" spans="1:15" x14ac:dyDescent="0.2">
      <c r="A458" s="79"/>
      <c r="B458" s="597" t="s">
        <v>546</v>
      </c>
      <c r="C458" s="588">
        <v>12000</v>
      </c>
      <c r="D458" s="315">
        <v>1</v>
      </c>
      <c r="E458" s="315"/>
      <c r="F458" s="163">
        <v>189000</v>
      </c>
      <c r="G458" s="298"/>
      <c r="H458" s="442"/>
      <c r="I458" s="453"/>
      <c r="J458" s="299"/>
      <c r="K458" s="393"/>
    </row>
    <row r="459" spans="1:15" ht="21" customHeight="1" x14ac:dyDescent="0.2">
      <c r="A459" s="949" t="s">
        <v>151</v>
      </c>
      <c r="B459" s="956" t="s">
        <v>152</v>
      </c>
      <c r="C459" s="589"/>
      <c r="D459" s="590"/>
      <c r="E459" s="590"/>
      <c r="F459" s="472">
        <f>SUM(F460:F461)</f>
        <v>360000</v>
      </c>
      <c r="G459" s="298"/>
      <c r="H459" s="442"/>
      <c r="I459" s="453"/>
      <c r="J459" s="299"/>
      <c r="K459" s="393"/>
    </row>
    <row r="460" spans="1:15" x14ac:dyDescent="0.2">
      <c r="A460" s="942"/>
      <c r="B460" s="957"/>
      <c r="C460" s="588">
        <v>60000</v>
      </c>
      <c r="D460" s="315">
        <v>1</v>
      </c>
      <c r="E460" s="315"/>
      <c r="F460" s="163">
        <f>SUM(C460*D460)</f>
        <v>60000</v>
      </c>
      <c r="G460" s="298"/>
      <c r="H460" s="442"/>
      <c r="I460" s="453"/>
      <c r="J460" s="299"/>
      <c r="K460" s="393"/>
    </row>
    <row r="461" spans="1:15" x14ac:dyDescent="0.2">
      <c r="A461" s="950"/>
      <c r="B461" s="958"/>
      <c r="C461" s="588">
        <v>25000</v>
      </c>
      <c r="D461" s="315">
        <v>12</v>
      </c>
      <c r="E461" s="315"/>
      <c r="F461" s="163">
        <f>SUM(C461*D461)</f>
        <v>300000</v>
      </c>
      <c r="G461" s="298"/>
      <c r="H461" s="442"/>
      <c r="I461" s="453"/>
      <c r="J461" s="299"/>
      <c r="K461" s="393"/>
    </row>
    <row r="462" spans="1:15" ht="17.100000000000001" customHeight="1" x14ac:dyDescent="0.2">
      <c r="A462" s="87" t="s">
        <v>344</v>
      </c>
      <c r="B462" s="518" t="s">
        <v>156</v>
      </c>
      <c r="C462" s="123">
        <f>SUM(F449,F450,F453,F454,F459)</f>
        <v>7770000</v>
      </c>
      <c r="D462" s="167">
        <v>0.13</v>
      </c>
      <c r="E462" s="91">
        <f>C462*D462</f>
        <v>1010100</v>
      </c>
      <c r="F462" s="163">
        <v>1000000</v>
      </c>
      <c r="O462" s="145"/>
    </row>
    <row r="463" spans="1:15" ht="17.100000000000001" customHeight="1" x14ac:dyDescent="0.2">
      <c r="A463" s="87"/>
      <c r="B463" s="518" t="s">
        <v>616</v>
      </c>
      <c r="C463" s="551">
        <f>SUM(F450)</f>
        <v>250000</v>
      </c>
      <c r="D463" s="552">
        <v>0.15</v>
      </c>
      <c r="E463" s="91">
        <f>C463*D463</f>
        <v>37500</v>
      </c>
      <c r="F463" s="163">
        <f t="shared" ref="F463" si="11">SUM(C463*D463)</f>
        <v>37500</v>
      </c>
      <c r="G463" s="177">
        <f>SUM(F462:F463)</f>
        <v>1037500</v>
      </c>
      <c r="O463" s="145"/>
    </row>
    <row r="464" spans="1:15" ht="17.100000000000001" customHeight="1" x14ac:dyDescent="0.2">
      <c r="A464" s="282"/>
      <c r="B464" s="948" t="s">
        <v>313</v>
      </c>
      <c r="C464" s="948"/>
      <c r="D464" s="948"/>
      <c r="E464" s="948"/>
      <c r="F464" s="164">
        <v>1100000</v>
      </c>
      <c r="H464" s="448"/>
      <c r="J464" s="96"/>
      <c r="O464" s="145"/>
    </row>
    <row r="465" spans="1:15" ht="17.100000000000001" customHeight="1" x14ac:dyDescent="0.2">
      <c r="A465" s="282" t="s">
        <v>167</v>
      </c>
      <c r="B465" s="925" t="s">
        <v>168</v>
      </c>
      <c r="C465" s="925"/>
      <c r="D465" s="925"/>
      <c r="E465" s="925"/>
      <c r="F465" s="925"/>
      <c r="I465" s="69"/>
      <c r="M465" s="146"/>
      <c r="N465" s="34"/>
      <c r="O465" s="147"/>
    </row>
    <row r="466" spans="1:15" ht="17.100000000000001" customHeight="1" x14ac:dyDescent="0.2">
      <c r="A466" s="282"/>
      <c r="B466" s="77" t="s">
        <v>372</v>
      </c>
      <c r="C466" s="97"/>
      <c r="D466" s="238">
        <v>0.27</v>
      </c>
      <c r="E466" s="97"/>
      <c r="F466" s="201">
        <v>500000</v>
      </c>
      <c r="I466" s="69">
        <f>SUM(F466*D466)</f>
        <v>135000</v>
      </c>
      <c r="K466" s="100" t="s">
        <v>770</v>
      </c>
      <c r="M466" s="146"/>
      <c r="N466" s="34"/>
      <c r="O466" s="147"/>
    </row>
    <row r="467" spans="1:15" ht="17.100000000000001" customHeight="1" x14ac:dyDescent="0.2">
      <c r="A467" s="282"/>
      <c r="B467" s="77" t="s">
        <v>549</v>
      </c>
      <c r="C467" s="97">
        <v>30000</v>
      </c>
      <c r="D467" s="238">
        <v>0.27</v>
      </c>
      <c r="E467" s="97">
        <v>2</v>
      </c>
      <c r="F467" s="201">
        <v>60000</v>
      </c>
      <c r="I467" s="69">
        <f>SUM(F467*D467)</f>
        <v>16200.000000000002</v>
      </c>
      <c r="K467" t="s">
        <v>771</v>
      </c>
      <c r="M467" s="146"/>
      <c r="N467" s="34"/>
      <c r="O467" s="147"/>
    </row>
    <row r="468" spans="1:15" ht="17.100000000000001" customHeight="1" x14ac:dyDescent="0.2">
      <c r="A468" s="282"/>
      <c r="B468" s="77" t="s">
        <v>617</v>
      </c>
      <c r="C468" s="97"/>
      <c r="D468" s="238">
        <v>0.27</v>
      </c>
      <c r="E468" s="97"/>
      <c r="F468" s="201">
        <v>156973</v>
      </c>
      <c r="I468" s="69">
        <f>SUM(F468*D468)</f>
        <v>42382.710000000006</v>
      </c>
      <c r="K468" t="s">
        <v>772</v>
      </c>
      <c r="M468" s="146"/>
      <c r="N468" s="34"/>
      <c r="O468" s="147"/>
    </row>
    <row r="469" spans="1:15" ht="17.100000000000001" customHeight="1" x14ac:dyDescent="0.2">
      <c r="A469" s="282"/>
      <c r="B469" s="77" t="s">
        <v>587</v>
      </c>
      <c r="C469" s="97"/>
      <c r="D469" s="238">
        <v>0.27</v>
      </c>
      <c r="E469" s="97"/>
      <c r="F469" s="201">
        <v>300000</v>
      </c>
      <c r="I469" s="69">
        <f>SUM(F469*D469)</f>
        <v>81000</v>
      </c>
      <c r="K469" t="s">
        <v>773</v>
      </c>
      <c r="M469" s="146"/>
      <c r="N469" s="34"/>
      <c r="O469" s="147"/>
    </row>
    <row r="470" spans="1:15" ht="17.100000000000001" customHeight="1" x14ac:dyDescent="0.2">
      <c r="A470" s="282"/>
      <c r="B470" s="924" t="s">
        <v>317</v>
      </c>
      <c r="C470" s="924"/>
      <c r="D470" s="924"/>
      <c r="E470" s="924"/>
      <c r="F470" s="164">
        <f>SUM(F466:F469)</f>
        <v>1016973</v>
      </c>
      <c r="I470" s="69"/>
      <c r="K470" t="s">
        <v>774</v>
      </c>
      <c r="M470" s="146"/>
      <c r="N470" s="34"/>
      <c r="O470" s="147"/>
    </row>
    <row r="471" spans="1:15" ht="17.100000000000001" customHeight="1" x14ac:dyDescent="0.2">
      <c r="A471" s="282" t="s">
        <v>184</v>
      </c>
      <c r="B471" s="281" t="s">
        <v>285</v>
      </c>
      <c r="C471" s="281"/>
      <c r="D471" s="171">
        <v>0.27</v>
      </c>
      <c r="E471" s="281"/>
      <c r="F471" s="164">
        <f>SUM(F472:F473)</f>
        <v>800000</v>
      </c>
      <c r="I471" s="69">
        <f t="shared" ref="I471:I481" si="12">SUM(F471*D471)</f>
        <v>216000</v>
      </c>
      <c r="M471" s="146"/>
      <c r="N471" s="34"/>
      <c r="O471" s="147"/>
    </row>
    <row r="472" spans="1:15" ht="17.100000000000001" customHeight="1" x14ac:dyDescent="0.2">
      <c r="A472" s="282"/>
      <c r="B472" s="77" t="s">
        <v>265</v>
      </c>
      <c r="C472" s="77"/>
      <c r="D472" s="172"/>
      <c r="E472" s="77"/>
      <c r="F472" s="232">
        <v>300000</v>
      </c>
      <c r="I472" s="69"/>
      <c r="M472" s="146"/>
      <c r="N472" s="34"/>
      <c r="O472" s="147"/>
    </row>
    <row r="473" spans="1:15" ht="17.100000000000001" customHeight="1" x14ac:dyDescent="0.2">
      <c r="A473" s="282"/>
      <c r="B473" s="77" t="s">
        <v>764</v>
      </c>
      <c r="C473" s="77"/>
      <c r="D473" s="172"/>
      <c r="E473" s="77"/>
      <c r="F473" s="232">
        <v>500000</v>
      </c>
      <c r="I473" s="69"/>
      <c r="M473" s="146"/>
      <c r="N473" s="34"/>
      <c r="O473" s="147"/>
    </row>
    <row r="474" spans="1:15" ht="17.100000000000001" customHeight="1" x14ac:dyDescent="0.2">
      <c r="A474" s="99" t="s">
        <v>192</v>
      </c>
      <c r="B474" s="924" t="s">
        <v>193</v>
      </c>
      <c r="C474" s="924"/>
      <c r="D474" s="924">
        <v>0.27</v>
      </c>
      <c r="E474" s="924"/>
      <c r="F474" s="164">
        <v>18000000</v>
      </c>
      <c r="G474" s="204"/>
      <c r="I474" s="69">
        <f t="shared" si="12"/>
        <v>4860000</v>
      </c>
    </row>
    <row r="475" spans="1:15" ht="17.100000000000001" customHeight="1" x14ac:dyDescent="0.2">
      <c r="A475" s="99" t="s">
        <v>196</v>
      </c>
      <c r="B475" s="924" t="s">
        <v>197</v>
      </c>
      <c r="C475" s="924"/>
      <c r="D475" s="924"/>
      <c r="E475" s="924"/>
      <c r="F475" s="164">
        <f>SUM(F476:F478)</f>
        <v>200000</v>
      </c>
      <c r="G475" s="204"/>
      <c r="I475" s="69"/>
    </row>
    <row r="476" spans="1:15" ht="17.100000000000001" customHeight="1" x14ac:dyDescent="0.2">
      <c r="A476" s="99"/>
      <c r="B476" s="77" t="s">
        <v>619</v>
      </c>
      <c r="C476" s="91"/>
      <c r="D476" s="172">
        <v>0.27</v>
      </c>
      <c r="E476" s="91"/>
      <c r="F476" s="163">
        <v>50000</v>
      </c>
      <c r="G476" s="204"/>
      <c r="I476" s="69">
        <f t="shared" si="12"/>
        <v>13500</v>
      </c>
    </row>
    <row r="477" spans="1:15" ht="17.100000000000001" customHeight="1" x14ac:dyDescent="0.2">
      <c r="A477" s="99"/>
      <c r="B477" s="77" t="s">
        <v>618</v>
      </c>
      <c r="C477" s="91"/>
      <c r="D477" s="172" t="s">
        <v>557</v>
      </c>
      <c r="E477" s="91"/>
      <c r="F477" s="163">
        <v>50000</v>
      </c>
      <c r="G477" s="204"/>
      <c r="I477" s="69"/>
    </row>
    <row r="478" spans="1:15" ht="17.100000000000001" customHeight="1" x14ac:dyDescent="0.2">
      <c r="A478" s="99"/>
      <c r="B478" s="77" t="s">
        <v>588</v>
      </c>
      <c r="C478" s="91"/>
      <c r="D478" s="172">
        <v>0.27</v>
      </c>
      <c r="E478" s="91"/>
      <c r="F478" s="163">
        <v>100000</v>
      </c>
      <c r="G478" s="204"/>
      <c r="I478" s="69">
        <f t="shared" si="12"/>
        <v>27000</v>
      </c>
    </row>
    <row r="479" spans="1:15" ht="17.100000000000001" customHeight="1" x14ac:dyDescent="0.2">
      <c r="A479" s="99" t="s">
        <v>198</v>
      </c>
      <c r="B479" s="924" t="s">
        <v>199</v>
      </c>
      <c r="C479" s="924"/>
      <c r="D479" s="924">
        <v>0.27</v>
      </c>
      <c r="E479" s="924"/>
      <c r="F479" s="164">
        <f>SUM(F480)</f>
        <v>25000</v>
      </c>
      <c r="G479" s="204"/>
      <c r="I479" s="69">
        <f t="shared" si="12"/>
        <v>6750</v>
      </c>
    </row>
    <row r="480" spans="1:15" ht="17.100000000000001" customHeight="1" x14ac:dyDescent="0.2">
      <c r="A480" s="99"/>
      <c r="B480" s="77" t="s">
        <v>620</v>
      </c>
      <c r="C480" s="91"/>
      <c r="D480" s="172" t="s">
        <v>557</v>
      </c>
      <c r="E480" s="91"/>
      <c r="F480" s="232">
        <v>25000</v>
      </c>
      <c r="G480" s="204"/>
      <c r="I480" s="69"/>
    </row>
    <row r="481" spans="1:12" ht="18" customHeight="1" x14ac:dyDescent="0.2">
      <c r="A481" s="99" t="s">
        <v>202</v>
      </c>
      <c r="B481" s="246" t="s">
        <v>203</v>
      </c>
      <c r="C481" s="247"/>
      <c r="D481" s="431">
        <v>0.27</v>
      </c>
      <c r="E481" s="247"/>
      <c r="F481" s="164">
        <v>50000</v>
      </c>
      <c r="I481" s="69">
        <f t="shared" si="12"/>
        <v>13500</v>
      </c>
    </row>
    <row r="482" spans="1:12" ht="20.25" customHeight="1" x14ac:dyDescent="0.2">
      <c r="A482" s="76" t="s">
        <v>210</v>
      </c>
      <c r="B482" s="924" t="s">
        <v>268</v>
      </c>
      <c r="C482" s="924"/>
      <c r="D482" s="924"/>
      <c r="E482" s="924">
        <f>C482*D482</f>
        <v>0</v>
      </c>
      <c r="F482" s="164">
        <v>5330000</v>
      </c>
      <c r="G482" s="186"/>
      <c r="H482" s="448"/>
      <c r="I482" s="69">
        <f>SUM(I464:I481)</f>
        <v>5411332.71</v>
      </c>
      <c r="J482" s="96"/>
    </row>
    <row r="483" spans="1:12" ht="19.5" customHeight="1" x14ac:dyDescent="0.2">
      <c r="A483" s="76" t="s">
        <v>291</v>
      </c>
      <c r="B483" s="77" t="s">
        <v>217</v>
      </c>
      <c r="C483" s="97"/>
      <c r="D483" s="172">
        <v>0.27</v>
      </c>
      <c r="E483" s="97"/>
      <c r="F483" s="201"/>
      <c r="I483" s="69">
        <f>SUM(D483*F483)</f>
        <v>0</v>
      </c>
    </row>
    <row r="484" spans="1:12" ht="18.75" customHeight="1" x14ac:dyDescent="0.2">
      <c r="A484" s="79" t="s">
        <v>244</v>
      </c>
      <c r="B484" s="246" t="s">
        <v>347</v>
      </c>
      <c r="C484" s="247"/>
      <c r="D484" s="431"/>
      <c r="E484" s="247"/>
      <c r="F484" s="164">
        <v>595300</v>
      </c>
      <c r="I484" s="69">
        <f>SUM(I482:I483)</f>
        <v>5411332.71</v>
      </c>
    </row>
    <row r="485" spans="1:12" ht="20.25" customHeight="1" x14ac:dyDescent="0.2">
      <c r="A485" s="79" t="s">
        <v>246</v>
      </c>
      <c r="B485" s="924" t="s">
        <v>273</v>
      </c>
      <c r="C485" s="924"/>
      <c r="D485" s="924">
        <v>0.27</v>
      </c>
      <c r="E485" s="924">
        <f>C485*D485</f>
        <v>0</v>
      </c>
      <c r="F485" s="164">
        <v>161000</v>
      </c>
      <c r="I485" s="69"/>
    </row>
    <row r="486" spans="1:12" ht="20.25" customHeight="1" x14ac:dyDescent="0.2">
      <c r="A486" s="79" t="s">
        <v>294</v>
      </c>
      <c r="B486" s="80" t="s">
        <v>348</v>
      </c>
      <c r="C486" s="313"/>
      <c r="D486" s="181"/>
      <c r="E486" s="83"/>
      <c r="F486" s="292">
        <v>0</v>
      </c>
      <c r="I486" s="69"/>
    </row>
    <row r="487" spans="1:12" ht="21.75" thickBot="1" x14ac:dyDescent="0.25">
      <c r="A487" s="79" t="s">
        <v>295</v>
      </c>
      <c r="B487" s="80" t="s">
        <v>274</v>
      </c>
      <c r="C487" s="313"/>
      <c r="D487" s="181"/>
      <c r="E487" s="83"/>
      <c r="F487" s="292">
        <v>0</v>
      </c>
      <c r="I487" s="69"/>
    </row>
    <row r="488" spans="1:12" ht="23.25" customHeight="1" thickBot="1" x14ac:dyDescent="0.25">
      <c r="A488" s="937" t="s">
        <v>276</v>
      </c>
      <c r="B488" s="937"/>
      <c r="C488" s="937"/>
      <c r="D488" s="937"/>
      <c r="E488" s="937"/>
      <c r="F488" s="185">
        <f>F449+F450+F453+F464+F470+F474+F481+F482+F479+F454+F475+F471+F459+F483+F484+F485</f>
        <v>35048273</v>
      </c>
      <c r="G488" s="177">
        <f>SUM(F488-'Kiadások COFOG szerint'!H274)</f>
        <v>0</v>
      </c>
    </row>
    <row r="489" spans="1:12" ht="24" customHeight="1" thickBot="1" x14ac:dyDescent="0.25">
      <c r="A489" s="943" t="s">
        <v>594</v>
      </c>
      <c r="B489" s="943"/>
      <c r="C489" s="943"/>
      <c r="D489" s="943"/>
      <c r="E489" s="943"/>
      <c r="F489" s="943"/>
    </row>
    <row r="490" spans="1:12" ht="22.5" customHeight="1" thickBot="1" x14ac:dyDescent="0.25">
      <c r="A490" s="929" t="s">
        <v>45</v>
      </c>
      <c r="B490" s="931" t="s">
        <v>46</v>
      </c>
      <c r="C490" s="932">
        <v>2022</v>
      </c>
      <c r="D490" s="932"/>
      <c r="E490" s="932"/>
      <c r="F490" s="932"/>
      <c r="L490" s="126"/>
    </row>
    <row r="491" spans="1:12" ht="24.75" customHeight="1" thickBot="1" x14ac:dyDescent="0.25">
      <c r="A491" s="929"/>
      <c r="B491" s="931"/>
      <c r="C491" s="933"/>
      <c r="D491" s="933"/>
      <c r="E491" s="933"/>
      <c r="F491" s="159" t="s">
        <v>505</v>
      </c>
    </row>
    <row r="492" spans="1:12" x14ac:dyDescent="0.2">
      <c r="A492" s="318" t="s">
        <v>167</v>
      </c>
      <c r="B492" s="316" t="s">
        <v>168</v>
      </c>
      <c r="C492" s="561"/>
      <c r="D492" s="561"/>
      <c r="E492" s="561"/>
      <c r="F492" s="317">
        <v>148771</v>
      </c>
      <c r="G492" s="311"/>
      <c r="H492" s="449"/>
      <c r="J492" s="139"/>
    </row>
    <row r="493" spans="1:12" x14ac:dyDescent="0.2">
      <c r="A493" s="769" t="s">
        <v>192</v>
      </c>
      <c r="B493" s="77" t="s">
        <v>193</v>
      </c>
      <c r="C493" s="561"/>
      <c r="D493" s="561"/>
      <c r="E493" s="561"/>
      <c r="F493" s="770">
        <v>353902</v>
      </c>
      <c r="G493" s="311"/>
      <c r="H493" s="449"/>
      <c r="J493" s="139"/>
    </row>
    <row r="494" spans="1:12" x14ac:dyDescent="0.2">
      <c r="A494" s="771" t="s">
        <v>202</v>
      </c>
      <c r="B494" s="77" t="s">
        <v>203</v>
      </c>
      <c r="C494" s="561"/>
      <c r="D494" s="561"/>
      <c r="E494" s="561"/>
      <c r="F494" s="772">
        <v>396244</v>
      </c>
      <c r="G494" s="311"/>
      <c r="H494" s="449"/>
      <c r="J494" s="139"/>
    </row>
    <row r="495" spans="1:12" ht="21.75" thickBot="1" x14ac:dyDescent="0.25">
      <c r="A495" s="89" t="s">
        <v>210</v>
      </c>
      <c r="B495" s="294" t="s">
        <v>268</v>
      </c>
      <c r="C495" s="767"/>
      <c r="D495" s="221"/>
      <c r="E495" s="221"/>
      <c r="F495" s="768">
        <v>150638</v>
      </c>
      <c r="G495" s="311"/>
      <c r="H495" s="449"/>
      <c r="J495" s="139"/>
    </row>
    <row r="496" spans="1:12" ht="24" customHeight="1" thickBot="1" x14ac:dyDescent="0.25">
      <c r="A496" s="937" t="s">
        <v>276</v>
      </c>
      <c r="B496" s="937"/>
      <c r="C496" s="937"/>
      <c r="D496" s="937"/>
      <c r="E496" s="937"/>
      <c r="F496" s="185">
        <f>SUM(F492:F495)</f>
        <v>1049555</v>
      </c>
      <c r="G496" s="177">
        <f>SUM(F496-'Kiadások COFOG szerint'!H282)</f>
        <v>0</v>
      </c>
    </row>
    <row r="497" spans="1:8" ht="24" customHeight="1" thickBot="1" x14ac:dyDescent="0.25">
      <c r="A497" s="943" t="s">
        <v>447</v>
      </c>
      <c r="B497" s="943"/>
      <c r="C497" s="943"/>
      <c r="D497" s="943"/>
      <c r="E497" s="943"/>
      <c r="F497" s="943"/>
    </row>
    <row r="498" spans="1:8" ht="24" customHeight="1" thickBot="1" x14ac:dyDescent="0.25">
      <c r="A498" s="929" t="s">
        <v>45</v>
      </c>
      <c r="B498" s="931" t="s">
        <v>46</v>
      </c>
      <c r="C498" s="932">
        <v>2023</v>
      </c>
      <c r="D498" s="932"/>
      <c r="E498" s="932"/>
      <c r="F498" s="932"/>
    </row>
    <row r="499" spans="1:8" ht="24" customHeight="1" thickBot="1" x14ac:dyDescent="0.25">
      <c r="A499" s="929"/>
      <c r="B499" s="931"/>
      <c r="C499" s="933"/>
      <c r="D499" s="933"/>
      <c r="E499" s="933"/>
      <c r="F499" s="159" t="s">
        <v>505</v>
      </c>
    </row>
    <row r="500" spans="1:8" ht="24" customHeight="1" x14ac:dyDescent="0.2">
      <c r="A500" s="318" t="s">
        <v>192</v>
      </c>
      <c r="B500" s="316" t="s">
        <v>352</v>
      </c>
      <c r="C500" s="945"/>
      <c r="D500" s="945"/>
      <c r="E500" s="945"/>
      <c r="F500" s="317">
        <v>1800000</v>
      </c>
      <c r="H500" s="524">
        <f>SUM(F500*0.27)</f>
        <v>486000.00000000006</v>
      </c>
    </row>
    <row r="501" spans="1:8" ht="24" customHeight="1" thickBot="1" x14ac:dyDescent="0.25">
      <c r="A501" s="205" t="s">
        <v>210</v>
      </c>
      <c r="B501" s="122" t="s">
        <v>268</v>
      </c>
      <c r="C501" s="946"/>
      <c r="D501" s="946"/>
      <c r="E501" s="946"/>
      <c r="F501" s="322">
        <v>486000</v>
      </c>
    </row>
    <row r="502" spans="1:8" ht="24" customHeight="1" thickBot="1" x14ac:dyDescent="0.25">
      <c r="A502" s="937" t="s">
        <v>276</v>
      </c>
      <c r="B502" s="937"/>
      <c r="C502" s="937"/>
      <c r="D502" s="937"/>
      <c r="E502" s="937"/>
      <c r="F502" s="185">
        <f>SUM(F500:F501)</f>
        <v>2286000</v>
      </c>
      <c r="G502" s="177">
        <f>SUM(F502-'Kiadások COFOG szerint'!H288)</f>
        <v>0</v>
      </c>
    </row>
    <row r="503" spans="1:8" ht="23.25" hidden="1" customHeight="1" thickBot="1" x14ac:dyDescent="0.25">
      <c r="A503" s="927" t="s">
        <v>136</v>
      </c>
      <c r="B503" s="927"/>
      <c r="C503" s="927"/>
      <c r="D503" s="927"/>
      <c r="E503" s="927"/>
      <c r="F503" s="927"/>
    </row>
    <row r="504" spans="1:8" ht="16.5" hidden="1" customHeight="1" thickBot="1" x14ac:dyDescent="0.25">
      <c r="A504" s="929" t="s">
        <v>45</v>
      </c>
      <c r="B504" s="930" t="s">
        <v>46</v>
      </c>
      <c r="C504" s="932">
        <v>2021</v>
      </c>
      <c r="D504" s="932"/>
      <c r="E504" s="932"/>
      <c r="F504" s="932"/>
    </row>
    <row r="505" spans="1:8" ht="25.5" hidden="1" customHeight="1" thickBot="1" x14ac:dyDescent="0.25">
      <c r="A505" s="929"/>
      <c r="B505" s="931"/>
      <c r="C505" s="933"/>
      <c r="D505" s="933"/>
      <c r="E505" s="933"/>
      <c r="F505" s="159" t="s">
        <v>505</v>
      </c>
    </row>
    <row r="506" spans="1:8" ht="25.5" hidden="1" customHeight="1" thickBot="1" x14ac:dyDescent="0.25">
      <c r="A506" s="206" t="s">
        <v>218</v>
      </c>
      <c r="B506" s="75" t="s">
        <v>350</v>
      </c>
      <c r="C506" s="953" t="s">
        <v>351</v>
      </c>
      <c r="D506" s="953"/>
      <c r="E506" s="953"/>
      <c r="F506" s="367">
        <v>0</v>
      </c>
    </row>
    <row r="507" spans="1:8" ht="21" hidden="1" customHeight="1" thickBot="1" x14ac:dyDescent="0.25">
      <c r="A507" s="926" t="s">
        <v>276</v>
      </c>
      <c r="B507" s="926"/>
      <c r="C507" s="926"/>
      <c r="D507" s="926"/>
      <c r="E507" s="926"/>
      <c r="F507" s="185">
        <f>SUM(F506:F506)</f>
        <v>0</v>
      </c>
    </row>
    <row r="508" spans="1:8" ht="22.5" hidden="1" customHeight="1" thickBot="1" x14ac:dyDescent="0.25">
      <c r="A508" s="943" t="s">
        <v>296</v>
      </c>
      <c r="B508" s="943"/>
      <c r="C508" s="943"/>
      <c r="D508" s="943"/>
      <c r="E508" s="943"/>
      <c r="F508" s="943"/>
    </row>
    <row r="509" spans="1:8" ht="22.5" hidden="1" customHeight="1" thickBot="1" x14ac:dyDescent="0.25">
      <c r="A509" s="951" t="s">
        <v>45</v>
      </c>
      <c r="B509" s="952" t="s">
        <v>46</v>
      </c>
      <c r="C509" s="932">
        <v>2021</v>
      </c>
      <c r="D509" s="932"/>
      <c r="E509" s="932"/>
      <c r="F509" s="932"/>
    </row>
    <row r="510" spans="1:8" ht="22.5" hidden="1" customHeight="1" thickBot="1" x14ac:dyDescent="0.25">
      <c r="A510" s="951"/>
      <c r="B510" s="952"/>
      <c r="C510" s="933"/>
      <c r="D510" s="933"/>
      <c r="E510" s="933"/>
      <c r="F510" s="159" t="s">
        <v>505</v>
      </c>
    </row>
    <row r="511" spans="1:8" ht="22.5" hidden="1" customHeight="1" x14ac:dyDescent="0.2">
      <c r="A511" s="125" t="s">
        <v>192</v>
      </c>
      <c r="B511" s="153" t="s">
        <v>352</v>
      </c>
      <c r="C511" s="320"/>
      <c r="D511" s="168">
        <v>0.27</v>
      </c>
      <c r="E511" s="320"/>
      <c r="F511" s="232">
        <v>0</v>
      </c>
    </row>
    <row r="512" spans="1:8" ht="22.5" hidden="1" customHeight="1" x14ac:dyDescent="0.2">
      <c r="A512" s="125" t="s">
        <v>210</v>
      </c>
      <c r="B512" s="153" t="s">
        <v>268</v>
      </c>
      <c r="C512" s="321">
        <f>F511</f>
        <v>0</v>
      </c>
      <c r="D512" s="168">
        <v>0.27</v>
      </c>
      <c r="E512" s="320"/>
      <c r="F512" s="232">
        <f>C512*D512</f>
        <v>0</v>
      </c>
    </row>
    <row r="513" spans="1:13" ht="22.5" hidden="1" customHeight="1" x14ac:dyDescent="0.2">
      <c r="A513" s="926" t="s">
        <v>276</v>
      </c>
      <c r="B513" s="926"/>
      <c r="C513" s="926"/>
      <c r="D513" s="926"/>
      <c r="E513" s="926"/>
      <c r="F513" s="185">
        <f>SUM(F511:F512)</f>
        <v>0</v>
      </c>
    </row>
    <row r="514" spans="1:13" ht="24.75" customHeight="1" thickBot="1" x14ac:dyDescent="0.25">
      <c r="A514" s="927" t="s">
        <v>450</v>
      </c>
      <c r="B514" s="927"/>
      <c r="C514" s="927"/>
      <c r="D514" s="927"/>
      <c r="E514" s="927"/>
      <c r="F514" s="927"/>
    </row>
    <row r="515" spans="1:13" ht="15.75" customHeight="1" thickBot="1" x14ac:dyDescent="0.25">
      <c r="A515" s="928" t="s">
        <v>45</v>
      </c>
      <c r="B515" s="930" t="s">
        <v>46</v>
      </c>
      <c r="C515" s="932">
        <v>2023</v>
      </c>
      <c r="D515" s="932"/>
      <c r="E515" s="932"/>
      <c r="F515" s="932"/>
    </row>
    <row r="516" spans="1:13" ht="24" customHeight="1" thickBot="1" x14ac:dyDescent="0.25">
      <c r="A516" s="929"/>
      <c r="B516" s="931"/>
      <c r="C516" s="933"/>
      <c r="D516" s="933"/>
      <c r="E516" s="933"/>
      <c r="F516" s="159" t="s">
        <v>505</v>
      </c>
    </row>
    <row r="517" spans="1:13" ht="21" customHeight="1" x14ac:dyDescent="0.2">
      <c r="A517" s="377" t="s">
        <v>499</v>
      </c>
      <c r="B517" s="246" t="s">
        <v>411</v>
      </c>
      <c r="C517" s="247" t="s">
        <v>500</v>
      </c>
      <c r="D517" s="431"/>
      <c r="E517" s="247"/>
      <c r="F517" s="164"/>
    </row>
    <row r="518" spans="1:13" ht="21" customHeight="1" x14ac:dyDescent="0.2">
      <c r="A518" s="74" t="s">
        <v>420</v>
      </c>
      <c r="B518" s="246" t="s">
        <v>478</v>
      </c>
      <c r="C518" s="247"/>
      <c r="D518" s="431"/>
      <c r="E518" s="247">
        <v>50000</v>
      </c>
      <c r="F518" s="164"/>
    </row>
    <row r="519" spans="1:13" ht="21" customHeight="1" x14ac:dyDescent="0.2">
      <c r="A519" s="427" t="s">
        <v>145</v>
      </c>
      <c r="B519" s="246" t="s">
        <v>146</v>
      </c>
      <c r="C519" s="247" t="s">
        <v>547</v>
      </c>
      <c r="D519" s="431"/>
      <c r="E519" s="247">
        <v>12000</v>
      </c>
      <c r="F519" s="164"/>
    </row>
    <row r="520" spans="1:13" ht="21" customHeight="1" x14ac:dyDescent="0.2">
      <c r="A520" s="427" t="s">
        <v>151</v>
      </c>
      <c r="B520" s="246" t="s">
        <v>629</v>
      </c>
      <c r="C520" s="247"/>
      <c r="D520" s="431"/>
      <c r="E520" s="247"/>
      <c r="F520" s="164">
        <f>SUM(F521)</f>
        <v>1980000</v>
      </c>
    </row>
    <row r="521" spans="1:13" x14ac:dyDescent="0.2">
      <c r="A521" s="427"/>
      <c r="B521" s="428"/>
      <c r="C521" s="429" t="s">
        <v>630</v>
      </c>
      <c r="D521" s="430">
        <v>12</v>
      </c>
      <c r="E521" s="430">
        <v>165000</v>
      </c>
      <c r="F521" s="574">
        <f>SUM(D521*E521)</f>
        <v>1980000</v>
      </c>
    </row>
    <row r="522" spans="1:13" x14ac:dyDescent="0.2">
      <c r="A522" s="427" t="s">
        <v>344</v>
      </c>
      <c r="B522" s="246" t="s">
        <v>624</v>
      </c>
      <c r="C522" s="247"/>
      <c r="D522" s="431"/>
      <c r="E522" s="247"/>
      <c r="F522" s="164">
        <f>SUM(F523:F524)</f>
        <v>260000</v>
      </c>
    </row>
    <row r="523" spans="1:13" x14ac:dyDescent="0.2">
      <c r="B523" s="376" t="s">
        <v>156</v>
      </c>
      <c r="C523" s="426">
        <f>SUM(F520+F518+F519)</f>
        <v>1980000</v>
      </c>
      <c r="D523" s="392">
        <v>0.13</v>
      </c>
      <c r="E523" s="426">
        <f>SUM(C523*D523)</f>
        <v>257400</v>
      </c>
      <c r="F523" s="293">
        <v>260000</v>
      </c>
    </row>
    <row r="524" spans="1:13" x14ac:dyDescent="0.2">
      <c r="A524" s="427"/>
      <c r="B524" s="428" t="s">
        <v>622</v>
      </c>
      <c r="C524" s="430">
        <f>SUM(F518)</f>
        <v>0</v>
      </c>
      <c r="D524" s="557">
        <v>0.15</v>
      </c>
      <c r="E524" s="430">
        <f>SUM(C524*D524)</f>
        <v>0</v>
      </c>
      <c r="F524" s="574"/>
    </row>
    <row r="525" spans="1:13" ht="18.75" customHeight="1" x14ac:dyDescent="0.2">
      <c r="A525" s="99" t="s">
        <v>198</v>
      </c>
      <c r="B525" s="246" t="s">
        <v>199</v>
      </c>
      <c r="C525" s="247"/>
      <c r="D525" s="431"/>
      <c r="E525" s="247"/>
      <c r="F525" s="164"/>
    </row>
    <row r="526" spans="1:13" ht="26.25" customHeight="1" thickBot="1" x14ac:dyDescent="0.25">
      <c r="A526" s="143" t="s">
        <v>228</v>
      </c>
      <c r="B526" s="246" t="s">
        <v>269</v>
      </c>
      <c r="C526" s="934" t="s">
        <v>353</v>
      </c>
      <c r="D526" s="935"/>
      <c r="E526" s="936"/>
      <c r="F526" s="164">
        <v>0</v>
      </c>
      <c r="G526" s="368" t="s">
        <v>498</v>
      </c>
      <c r="H526" s="450"/>
      <c r="I526" s="457"/>
      <c r="J526" s="239"/>
      <c r="K526" s="207"/>
      <c r="L526" s="208"/>
      <c r="M526" s="207"/>
    </row>
    <row r="527" spans="1:13" ht="21.75" customHeight="1" thickBot="1" x14ac:dyDescent="0.25">
      <c r="A527" s="937" t="s">
        <v>276</v>
      </c>
      <c r="B527" s="937"/>
      <c r="C527" s="937"/>
      <c r="D527" s="937"/>
      <c r="E527" s="937"/>
      <c r="F527" s="185">
        <f>SUM(F517+F518+F519+F520+F522+F525+F526)</f>
        <v>2240000</v>
      </c>
      <c r="G527" s="177">
        <f>SUM(F527-'Kiadások COFOG szerint'!H310)</f>
        <v>0</v>
      </c>
    </row>
    <row r="528" spans="1:13" ht="24.75" customHeight="1" thickBot="1" x14ac:dyDescent="0.25">
      <c r="A528" s="938" t="s">
        <v>299</v>
      </c>
      <c r="B528" s="938"/>
      <c r="C528" s="927"/>
      <c r="D528" s="927"/>
      <c r="E528" s="927"/>
      <c r="F528" s="927"/>
    </row>
    <row r="529" spans="1:15" ht="18.75" customHeight="1" x14ac:dyDescent="0.2">
      <c r="A529" s="940" t="s">
        <v>45</v>
      </c>
      <c r="B529" s="940" t="s">
        <v>46</v>
      </c>
      <c r="C529" s="932">
        <v>2023</v>
      </c>
      <c r="D529" s="932"/>
      <c r="E529" s="932"/>
      <c r="F529" s="932"/>
      <c r="H529" s="903" t="s">
        <v>548</v>
      </c>
      <c r="I529" s="903"/>
      <c r="J529" s="101">
        <f>SUM('Bevételek COFOG szerint 2023'!H70)</f>
        <v>7997000</v>
      </c>
      <c r="L529" t="s">
        <v>766</v>
      </c>
      <c r="M529" s="69">
        <v>250000</v>
      </c>
    </row>
    <row r="530" spans="1:15" ht="25.5" customHeight="1" thickBot="1" x14ac:dyDescent="0.25">
      <c r="A530" s="940"/>
      <c r="B530" s="940"/>
      <c r="C530" s="933"/>
      <c r="D530" s="933"/>
      <c r="E530" s="933"/>
      <c r="F530" s="159" t="s">
        <v>505</v>
      </c>
      <c r="L530" t="s">
        <v>767</v>
      </c>
      <c r="M530" s="69">
        <v>300000</v>
      </c>
    </row>
    <row r="531" spans="1:15" ht="25.5" customHeight="1" x14ac:dyDescent="0.2">
      <c r="A531" s="326" t="s">
        <v>167</v>
      </c>
      <c r="B531" s="329" t="s">
        <v>451</v>
      </c>
      <c r="C531" s="325" t="s">
        <v>761</v>
      </c>
      <c r="D531" s="323"/>
      <c r="E531" s="323"/>
      <c r="F531" s="293">
        <v>3344000</v>
      </c>
      <c r="G531" s="177"/>
      <c r="H531" s="437"/>
      <c r="I531" s="458" t="s">
        <v>703</v>
      </c>
      <c r="J531" s="600">
        <v>759000</v>
      </c>
      <c r="L531" t="s">
        <v>768</v>
      </c>
      <c r="M531" s="69">
        <v>500000</v>
      </c>
    </row>
    <row r="532" spans="1:15" ht="25.5" customHeight="1" x14ac:dyDescent="0.2">
      <c r="A532" s="129" t="s">
        <v>354</v>
      </c>
      <c r="B532" s="209" t="s">
        <v>373</v>
      </c>
      <c r="C532" s="210"/>
      <c r="D532" s="210"/>
      <c r="E532" s="210"/>
      <c r="F532" s="211">
        <v>300000</v>
      </c>
      <c r="G532" s="177"/>
      <c r="J532" s="601"/>
      <c r="L532" t="s">
        <v>769</v>
      </c>
      <c r="M532" s="69">
        <v>200000</v>
      </c>
    </row>
    <row r="533" spans="1:15" ht="25.5" customHeight="1" x14ac:dyDescent="0.2">
      <c r="A533" s="129" t="s">
        <v>210</v>
      </c>
      <c r="B533" s="209" t="s">
        <v>268</v>
      </c>
      <c r="C533" s="274">
        <f>F532+F531</f>
        <v>3644000</v>
      </c>
      <c r="D533" s="327">
        <v>0.27</v>
      </c>
      <c r="E533" s="328">
        <f>C533*D533</f>
        <v>983880.00000000012</v>
      </c>
      <c r="F533" s="211">
        <v>980000</v>
      </c>
      <c r="G533" s="177"/>
      <c r="J533" s="601"/>
      <c r="M533" s="69"/>
    </row>
    <row r="534" spans="1:15" ht="21.75" customHeight="1" thickBot="1" x14ac:dyDescent="0.25">
      <c r="A534" s="129" t="s">
        <v>452</v>
      </c>
      <c r="B534" s="209" t="s">
        <v>459</v>
      </c>
      <c r="C534" s="274"/>
      <c r="D534" s="327"/>
      <c r="E534" s="328"/>
      <c r="F534" s="211"/>
      <c r="G534" s="177"/>
      <c r="I534" s="458" t="s">
        <v>704</v>
      </c>
      <c r="J534" s="602">
        <v>204930</v>
      </c>
      <c r="M534" s="69"/>
    </row>
    <row r="535" spans="1:15" ht="21" customHeight="1" x14ac:dyDescent="0.2">
      <c r="A535" s="941" t="s">
        <v>355</v>
      </c>
      <c r="B535" s="330" t="s">
        <v>356</v>
      </c>
      <c r="C535" s="331"/>
      <c r="D535" s="332"/>
      <c r="E535" s="333"/>
      <c r="F535" s="334">
        <v>6300000</v>
      </c>
      <c r="G535" s="177"/>
      <c r="J535" s="601">
        <f>SUM(J531:J534)</f>
        <v>963930</v>
      </c>
      <c r="M535" s="810"/>
      <c r="N535" s="157"/>
      <c r="O535" s="213"/>
    </row>
    <row r="536" spans="1:15" ht="36.75" customHeight="1" thickBot="1" x14ac:dyDescent="0.25">
      <c r="A536" s="942"/>
      <c r="B536" s="335" t="s">
        <v>457</v>
      </c>
      <c r="C536" s="91"/>
      <c r="D536" s="91"/>
      <c r="E536" s="175"/>
      <c r="F536" s="214">
        <v>6300000</v>
      </c>
      <c r="G536" s="177"/>
      <c r="H536" s="447"/>
      <c r="J536" s="61"/>
      <c r="M536" s="212"/>
      <c r="N536" s="157"/>
      <c r="O536" s="213"/>
    </row>
    <row r="537" spans="1:15" ht="25.5" customHeight="1" x14ac:dyDescent="0.2">
      <c r="A537" s="324" t="s">
        <v>357</v>
      </c>
      <c r="B537" s="217" t="s">
        <v>358</v>
      </c>
      <c r="C537" s="218"/>
      <c r="D537" s="218"/>
      <c r="E537" s="218"/>
      <c r="F537" s="219">
        <v>5500000</v>
      </c>
      <c r="G537" s="312"/>
      <c r="M537" s="212"/>
      <c r="N537" s="157"/>
      <c r="O537" s="213"/>
    </row>
    <row r="538" spans="1:15" ht="21.75" customHeight="1" x14ac:dyDescent="0.2">
      <c r="A538" s="220"/>
      <c r="B538" s="215" t="s">
        <v>454</v>
      </c>
      <c r="C538" s="221"/>
      <c r="D538" s="221"/>
      <c r="E538" s="221"/>
      <c r="F538" s="216">
        <v>1500000</v>
      </c>
      <c r="G538" s="312"/>
      <c r="H538" s="437"/>
      <c r="M538" s="212"/>
      <c r="N538" s="157"/>
      <c r="O538" s="213"/>
    </row>
    <row r="539" spans="1:15" ht="21.75" customHeight="1" x14ac:dyDescent="0.2">
      <c r="A539" s="220"/>
      <c r="B539" s="215" t="s">
        <v>456</v>
      </c>
      <c r="C539" s="221"/>
      <c r="D539" s="221"/>
      <c r="E539" s="221"/>
      <c r="F539" s="216">
        <v>1000000</v>
      </c>
      <c r="G539" s="312"/>
      <c r="H539" s="437"/>
      <c r="M539" s="212"/>
      <c r="N539" s="157"/>
      <c r="O539" s="213"/>
    </row>
    <row r="540" spans="1:15" ht="21.75" customHeight="1" x14ac:dyDescent="0.2">
      <c r="A540" s="220"/>
      <c r="B540" s="215" t="s">
        <v>453</v>
      </c>
      <c r="C540" s="221"/>
      <c r="D540" s="221"/>
      <c r="E540" s="221"/>
      <c r="F540" s="216">
        <v>800000</v>
      </c>
      <c r="G540" s="312"/>
      <c r="H540" s="437"/>
      <c r="M540" s="212"/>
      <c r="N540" s="157"/>
      <c r="O540" s="213"/>
    </row>
    <row r="541" spans="1:15" ht="20.100000000000001" customHeight="1" x14ac:dyDescent="0.2">
      <c r="A541" s="222" t="s">
        <v>357</v>
      </c>
      <c r="B541" s="215" t="s">
        <v>455</v>
      </c>
      <c r="C541" s="191" t="s">
        <v>359</v>
      </c>
      <c r="D541" s="83"/>
      <c r="E541" s="83"/>
      <c r="F541" s="216">
        <v>900000</v>
      </c>
      <c r="G541" s="312"/>
      <c r="H541" s="437"/>
      <c r="M541" s="212"/>
      <c r="N541" s="157"/>
      <c r="O541" s="213"/>
    </row>
    <row r="542" spans="1:15" ht="20.100000000000001" customHeight="1" thickBot="1" x14ac:dyDescent="0.25">
      <c r="A542" s="243" t="s">
        <v>357</v>
      </c>
      <c r="B542" s="215" t="s">
        <v>360</v>
      </c>
      <c r="C542" s="191" t="s">
        <v>359</v>
      </c>
      <c r="D542" s="83"/>
      <c r="E542" s="83"/>
      <c r="F542" s="216">
        <v>1300000</v>
      </c>
      <c r="G542" s="177"/>
      <c r="H542" s="437"/>
      <c r="L542" s="207"/>
      <c r="M542" s="212"/>
      <c r="N542" s="157"/>
      <c r="O542" s="213"/>
    </row>
    <row r="543" spans="1:15" ht="21" customHeight="1" thickBot="1" x14ac:dyDescent="0.25">
      <c r="A543" s="937" t="s">
        <v>276</v>
      </c>
      <c r="B543" s="937"/>
      <c r="C543" s="937"/>
      <c r="D543" s="937"/>
      <c r="E543" s="937"/>
      <c r="F543" s="185">
        <f>F531+F532+F533+F534+F535+F537</f>
        <v>16424000</v>
      </c>
      <c r="G543" s="177">
        <f>SUM(F543-'Kiadások COFOG szerint'!H321)</f>
        <v>0</v>
      </c>
      <c r="M543" s="906"/>
      <c r="N543" s="906"/>
      <c r="O543" s="213"/>
    </row>
    <row r="544" spans="1:15" x14ac:dyDescent="0.2">
      <c r="M544" s="906"/>
      <c r="N544" s="906"/>
      <c r="O544" s="213"/>
    </row>
    <row r="545" spans="1:15" ht="13.5" customHeight="1" thickBot="1" x14ac:dyDescent="0.25">
      <c r="M545" s="906"/>
      <c r="N545" s="906"/>
      <c r="O545" s="213"/>
    </row>
    <row r="546" spans="1:15" ht="0.75" hidden="1" customHeight="1" x14ac:dyDescent="0.2">
      <c r="M546" s="906"/>
      <c r="N546" s="906"/>
      <c r="O546" s="213"/>
    </row>
    <row r="547" spans="1:15" ht="21.75" customHeight="1" thickBot="1" x14ac:dyDescent="0.25">
      <c r="A547" s="944" t="s">
        <v>304</v>
      </c>
      <c r="B547" s="944"/>
      <c r="C547" s="944"/>
      <c r="D547" s="944"/>
      <c r="E547" s="944"/>
      <c r="F547" s="224">
        <f>F124+F142+F157+F172+F178+F200+F215+F225+F241+F249+F282+F351+F399+F405+F417+F440+F488+F496+F502+F507+F513+F527+F543+F274</f>
        <v>730925541</v>
      </c>
      <c r="M547" s="903"/>
      <c r="N547" s="903"/>
      <c r="O547" s="213"/>
    </row>
    <row r="548" spans="1:15" x14ac:dyDescent="0.2">
      <c r="O548" s="213"/>
    </row>
    <row r="549" spans="1:15" x14ac:dyDescent="0.2">
      <c r="F549" s="412">
        <f>'Bevételek COFOG szerint 2023'!H181-'Kiadások részletes COFOG'!F547</f>
        <v>0</v>
      </c>
    </row>
    <row r="551" spans="1:15" x14ac:dyDescent="0.2">
      <c r="B551" s="100"/>
    </row>
    <row r="552" spans="1:15" ht="24" customHeight="1" x14ac:dyDescent="0.2">
      <c r="B552" s="939"/>
      <c r="C552" s="939"/>
      <c r="D552" s="939"/>
      <c r="E552" s="252"/>
      <c r="F552" s="253"/>
    </row>
    <row r="553" spans="1:15" x14ac:dyDescent="0.2">
      <c r="B553" s="252"/>
      <c r="C553" s="252"/>
      <c r="D553" s="252"/>
      <c r="E553" s="252"/>
      <c r="F553" s="254"/>
    </row>
    <row r="554" spans="1:15" x14ac:dyDescent="0.2">
      <c r="B554" s="252"/>
      <c r="C554" s="252"/>
      <c r="D554" s="252"/>
      <c r="E554" s="252"/>
      <c r="F554" s="254"/>
    </row>
    <row r="555" spans="1:15" x14ac:dyDescent="0.2">
      <c r="B555" s="252"/>
      <c r="C555" s="252"/>
      <c r="D555" s="252"/>
      <c r="E555" s="252"/>
      <c r="F555" s="254"/>
    </row>
    <row r="556" spans="1:15" x14ac:dyDescent="0.2">
      <c r="B556" s="252"/>
      <c r="C556" s="252"/>
      <c r="D556" s="255"/>
      <c r="E556" s="252"/>
      <c r="F556" s="254"/>
    </row>
    <row r="557" spans="1:15" x14ac:dyDescent="0.2">
      <c r="B557" s="255"/>
      <c r="C557" s="252"/>
      <c r="D557" s="252"/>
      <c r="E557" s="252"/>
      <c r="F557" s="254"/>
    </row>
    <row r="558" spans="1:15" x14ac:dyDescent="0.2">
      <c r="B558" s="252"/>
      <c r="C558" s="252"/>
      <c r="D558" s="252"/>
      <c r="E558" s="252"/>
      <c r="F558" s="254"/>
    </row>
    <row r="559" spans="1:15" x14ac:dyDescent="0.2">
      <c r="B559" s="252"/>
      <c r="C559" s="252"/>
      <c r="D559" s="252"/>
      <c r="E559" s="252"/>
      <c r="F559" s="254"/>
    </row>
    <row r="560" spans="1:15" x14ac:dyDescent="0.2">
      <c r="B560" s="252"/>
      <c r="C560" s="252"/>
      <c r="D560" s="252"/>
      <c r="E560" s="252"/>
      <c r="F560" s="254"/>
    </row>
    <row r="561" spans="2:6" x14ac:dyDescent="0.2">
      <c r="B561" s="252"/>
      <c r="C561" s="252"/>
      <c r="D561" s="252"/>
      <c r="E561" s="252"/>
      <c r="F561" s="254"/>
    </row>
    <row r="562" spans="2:6" x14ac:dyDescent="0.2">
      <c r="B562" s="252"/>
      <c r="C562" s="252"/>
      <c r="D562" s="252"/>
      <c r="E562" s="252"/>
      <c r="F562" s="254"/>
    </row>
    <row r="563" spans="2:6" x14ac:dyDescent="0.2">
      <c r="B563" s="252"/>
      <c r="C563" s="252"/>
      <c r="D563" s="252"/>
      <c r="E563" s="252"/>
      <c r="F563" s="254"/>
    </row>
    <row r="564" spans="2:6" x14ac:dyDescent="0.2">
      <c r="B564" s="252"/>
      <c r="C564" s="252"/>
      <c r="D564" s="252"/>
      <c r="E564" s="252"/>
      <c r="F564" s="254"/>
    </row>
    <row r="565" spans="2:6" x14ac:dyDescent="0.2">
      <c r="B565" s="252"/>
      <c r="C565" s="252"/>
      <c r="D565" s="252"/>
      <c r="E565" s="252"/>
      <c r="F565" s="254"/>
    </row>
    <row r="566" spans="2:6" x14ac:dyDescent="0.2">
      <c r="B566" s="252"/>
      <c r="C566" s="252"/>
      <c r="D566" s="252"/>
      <c r="E566" s="252"/>
      <c r="F566" s="254"/>
    </row>
  </sheetData>
  <mergeCells count="323">
    <mergeCell ref="B392:E392"/>
    <mergeCell ref="B474:E474"/>
    <mergeCell ref="B103:E103"/>
    <mergeCell ref="B485:E485"/>
    <mergeCell ref="B109:E109"/>
    <mergeCell ref="B114:E114"/>
    <mergeCell ref="B105:E105"/>
    <mergeCell ref="B106:E106"/>
    <mergeCell ref="B111:E111"/>
    <mergeCell ref="B108:E108"/>
    <mergeCell ref="B110:E110"/>
    <mergeCell ref="B112:E112"/>
    <mergeCell ref="B140:E140"/>
    <mergeCell ref="B141:E141"/>
    <mergeCell ref="B182:E182"/>
    <mergeCell ref="A158:F158"/>
    <mergeCell ref="A159:A160"/>
    <mergeCell ref="B159:B160"/>
    <mergeCell ref="C159:F159"/>
    <mergeCell ref="C160:E160"/>
    <mergeCell ref="A168:A169"/>
    <mergeCell ref="B169:E169"/>
    <mergeCell ref="B165:E165"/>
    <mergeCell ref="B161:E161"/>
    <mergeCell ref="A172:E172"/>
    <mergeCell ref="A403:A404"/>
    <mergeCell ref="B107:E107"/>
    <mergeCell ref="B189:E189"/>
    <mergeCell ref="A215:E215"/>
    <mergeCell ref="B119:F119"/>
    <mergeCell ref="B121:E121"/>
    <mergeCell ref="A124:E124"/>
    <mergeCell ref="A125:F125"/>
    <mergeCell ref="A126:A127"/>
    <mergeCell ref="B126:B127"/>
    <mergeCell ref="C126:F126"/>
    <mergeCell ref="C127:E127"/>
    <mergeCell ref="A132:A134"/>
    <mergeCell ref="A135:A136"/>
    <mergeCell ref="B136:E136"/>
    <mergeCell ref="A104:A114"/>
    <mergeCell ref="B104:E104"/>
    <mergeCell ref="A142:E142"/>
    <mergeCell ref="A143:F143"/>
    <mergeCell ref="A144:A145"/>
    <mergeCell ref="B144:B145"/>
    <mergeCell ref="C144:F144"/>
    <mergeCell ref="C145:E145"/>
    <mergeCell ref="A157:E157"/>
    <mergeCell ref="A37:A40"/>
    <mergeCell ref="A41:A45"/>
    <mergeCell ref="A46:A49"/>
    <mergeCell ref="A50:A51"/>
    <mergeCell ref="B45:E45"/>
    <mergeCell ref="A56:A59"/>
    <mergeCell ref="B59:E59"/>
    <mergeCell ref="B49:E49"/>
    <mergeCell ref="B51:E51"/>
    <mergeCell ref="B55:E55"/>
    <mergeCell ref="B40:E40"/>
    <mergeCell ref="B90:E90"/>
    <mergeCell ref="B63:E63"/>
    <mergeCell ref="B74:E74"/>
    <mergeCell ref="B93:F93"/>
    <mergeCell ref="B98:E98"/>
    <mergeCell ref="A100:A102"/>
    <mergeCell ref="B100:F100"/>
    <mergeCell ref="B102:E102"/>
    <mergeCell ref="A60:A63"/>
    <mergeCell ref="A64:A74"/>
    <mergeCell ref="A81:A88"/>
    <mergeCell ref="A75:A80"/>
    <mergeCell ref="G182:J182"/>
    <mergeCell ref="A250:F250"/>
    <mergeCell ref="A251:A252"/>
    <mergeCell ref="B251:B252"/>
    <mergeCell ref="C251:F251"/>
    <mergeCell ref="C252:E252"/>
    <mergeCell ref="B196:E196"/>
    <mergeCell ref="B197:E197"/>
    <mergeCell ref="B191:E191"/>
    <mergeCell ref="B193:E193"/>
    <mergeCell ref="B188:E188"/>
    <mergeCell ref="B194:E194"/>
    <mergeCell ref="A200:E200"/>
    <mergeCell ref="A201:F201"/>
    <mergeCell ref="A202:A203"/>
    <mergeCell ref="B202:B203"/>
    <mergeCell ref="C202:F202"/>
    <mergeCell ref="A217:A218"/>
    <mergeCell ref="B217:B218"/>
    <mergeCell ref="C217:F217"/>
    <mergeCell ref="C218:E218"/>
    <mergeCell ref="A225:E225"/>
    <mergeCell ref="A227:A228"/>
    <mergeCell ref="B195:E195"/>
    <mergeCell ref="B80:E80"/>
    <mergeCell ref="E1:F1"/>
    <mergeCell ref="A3:F3"/>
    <mergeCell ref="A4:F4"/>
    <mergeCell ref="A6:F6"/>
    <mergeCell ref="A8:F8"/>
    <mergeCell ref="A9:A10"/>
    <mergeCell ref="B9:B10"/>
    <mergeCell ref="C9:F9"/>
    <mergeCell ref="C10:E10"/>
    <mergeCell ref="A11:A14"/>
    <mergeCell ref="B11:F11"/>
    <mergeCell ref="B14:E14"/>
    <mergeCell ref="B15:F15"/>
    <mergeCell ref="B25:E25"/>
    <mergeCell ref="A26:A31"/>
    <mergeCell ref="B26:F26"/>
    <mergeCell ref="B31:E31"/>
    <mergeCell ref="A33:A36"/>
    <mergeCell ref="B36:E36"/>
    <mergeCell ref="B32:E32"/>
    <mergeCell ref="A173:F173"/>
    <mergeCell ref="A174:A175"/>
    <mergeCell ref="B174:B175"/>
    <mergeCell ref="C174:F174"/>
    <mergeCell ref="C175:E175"/>
    <mergeCell ref="A178:E178"/>
    <mergeCell ref="A179:F179"/>
    <mergeCell ref="A180:A181"/>
    <mergeCell ref="B180:B181"/>
    <mergeCell ref="C180:F180"/>
    <mergeCell ref="C181:E181"/>
    <mergeCell ref="B176:E176"/>
    <mergeCell ref="B177:E177"/>
    <mergeCell ref="B184:E184"/>
    <mergeCell ref="B186:E186"/>
    <mergeCell ref="B185:E185"/>
    <mergeCell ref="B183:F183"/>
    <mergeCell ref="A184:A185"/>
    <mergeCell ref="A226:F226"/>
    <mergeCell ref="A216:F216"/>
    <mergeCell ref="C203:E203"/>
    <mergeCell ref="B227:B228"/>
    <mergeCell ref="C227:F227"/>
    <mergeCell ref="C228:E228"/>
    <mergeCell ref="F184:F185"/>
    <mergeCell ref="B199:E199"/>
    <mergeCell ref="A188:A199"/>
    <mergeCell ref="B192:E192"/>
    <mergeCell ref="B190:E190"/>
    <mergeCell ref="B198:E198"/>
    <mergeCell ref="A238:A239"/>
    <mergeCell ref="B229:E229"/>
    <mergeCell ref="I238:J238"/>
    <mergeCell ref="B239:E239"/>
    <mergeCell ref="A241:E241"/>
    <mergeCell ref="A242:F242"/>
    <mergeCell ref="A243:A244"/>
    <mergeCell ref="B243:B244"/>
    <mergeCell ref="C243:F243"/>
    <mergeCell ref="C244:E244"/>
    <mergeCell ref="A230:A233"/>
    <mergeCell ref="B234:E234"/>
    <mergeCell ref="B233:E233"/>
    <mergeCell ref="A249:E249"/>
    <mergeCell ref="A275:F275"/>
    <mergeCell ref="A276:A277"/>
    <mergeCell ref="B276:B277"/>
    <mergeCell ref="C276:F276"/>
    <mergeCell ref="C277:E277"/>
    <mergeCell ref="A274:E274"/>
    <mergeCell ref="A282:E282"/>
    <mergeCell ref="A283:F283"/>
    <mergeCell ref="A284:A285"/>
    <mergeCell ref="B284:B285"/>
    <mergeCell ref="C284:F284"/>
    <mergeCell ref="C285:E285"/>
    <mergeCell ref="B286:F286"/>
    <mergeCell ref="B289:E289"/>
    <mergeCell ref="A317:A320"/>
    <mergeCell ref="A315:A316"/>
    <mergeCell ref="A309:A314"/>
    <mergeCell ref="A305:A307"/>
    <mergeCell ref="A294:A297"/>
    <mergeCell ref="A286:A289"/>
    <mergeCell ref="B357:E357"/>
    <mergeCell ref="A373:A376"/>
    <mergeCell ref="B373:F373"/>
    <mergeCell ref="B376:E376"/>
    <mergeCell ref="A386:A388"/>
    <mergeCell ref="B372:E372"/>
    <mergeCell ref="B335:F335"/>
    <mergeCell ref="B339:E339"/>
    <mergeCell ref="A351:E351"/>
    <mergeCell ref="A352:F352"/>
    <mergeCell ref="A353:A354"/>
    <mergeCell ref="B353:B354"/>
    <mergeCell ref="C353:F353"/>
    <mergeCell ref="C354:E354"/>
    <mergeCell ref="B369:E369"/>
    <mergeCell ref="B358:E358"/>
    <mergeCell ref="B366:E366"/>
    <mergeCell ref="B361:E361"/>
    <mergeCell ref="B362:E362"/>
    <mergeCell ref="B363:E363"/>
    <mergeCell ref="B364:E364"/>
    <mergeCell ref="B365:E365"/>
    <mergeCell ref="B394:E394"/>
    <mergeCell ref="A407:A408"/>
    <mergeCell ref="B407:B408"/>
    <mergeCell ref="C407:F407"/>
    <mergeCell ref="C408:E408"/>
    <mergeCell ref="A417:E417"/>
    <mergeCell ref="C423:E423"/>
    <mergeCell ref="C424:E424"/>
    <mergeCell ref="C426:E426"/>
    <mergeCell ref="A399:E399"/>
    <mergeCell ref="A406:F406"/>
    <mergeCell ref="A400:F400"/>
    <mergeCell ref="A401:A402"/>
    <mergeCell ref="B401:B402"/>
    <mergeCell ref="C401:F401"/>
    <mergeCell ref="C402:E402"/>
    <mergeCell ref="A405:E405"/>
    <mergeCell ref="B397:E397"/>
    <mergeCell ref="A418:F418"/>
    <mergeCell ref="A419:A420"/>
    <mergeCell ref="B419:B420"/>
    <mergeCell ref="C419:F419"/>
    <mergeCell ref="C420:E420"/>
    <mergeCell ref="A421:A439"/>
    <mergeCell ref="C427:E427"/>
    <mergeCell ref="C428:E428"/>
    <mergeCell ref="C429:E429"/>
    <mergeCell ref="C430:E430"/>
    <mergeCell ref="C431:E431"/>
    <mergeCell ref="C432:E432"/>
    <mergeCell ref="C433:E433"/>
    <mergeCell ref="B459:B461"/>
    <mergeCell ref="C421:E421"/>
    <mergeCell ref="B422:B439"/>
    <mergeCell ref="C422:E422"/>
    <mergeCell ref="C434:E434"/>
    <mergeCell ref="C435:E435"/>
    <mergeCell ref="C436:E436"/>
    <mergeCell ref="C437:E437"/>
    <mergeCell ref="C438:E438"/>
    <mergeCell ref="C439:E439"/>
    <mergeCell ref="C425:E425"/>
    <mergeCell ref="A440:E440"/>
    <mergeCell ref="A441:F441"/>
    <mergeCell ref="B454:E454"/>
    <mergeCell ref="B450:E450"/>
    <mergeCell ref="C499:E499"/>
    <mergeCell ref="C500:E500"/>
    <mergeCell ref="C501:E501"/>
    <mergeCell ref="A502:E502"/>
    <mergeCell ref="C510:E510"/>
    <mergeCell ref="C442:F442"/>
    <mergeCell ref="C443:E443"/>
    <mergeCell ref="B444:F444"/>
    <mergeCell ref="B449:E449"/>
    <mergeCell ref="B464:E464"/>
    <mergeCell ref="A459:A461"/>
    <mergeCell ref="A507:E507"/>
    <mergeCell ref="A508:F508"/>
    <mergeCell ref="A509:A510"/>
    <mergeCell ref="B509:B510"/>
    <mergeCell ref="C509:F509"/>
    <mergeCell ref="A442:A443"/>
    <mergeCell ref="B442:B443"/>
    <mergeCell ref="C505:E505"/>
    <mergeCell ref="C506:E506"/>
    <mergeCell ref="A497:F497"/>
    <mergeCell ref="A498:A499"/>
    <mergeCell ref="B498:B499"/>
    <mergeCell ref="C498:F498"/>
    <mergeCell ref="B552:D552"/>
    <mergeCell ref="A529:A530"/>
    <mergeCell ref="B529:B530"/>
    <mergeCell ref="C529:F529"/>
    <mergeCell ref="C530:E530"/>
    <mergeCell ref="A535:A536"/>
    <mergeCell ref="A543:E543"/>
    <mergeCell ref="B465:F465"/>
    <mergeCell ref="B470:E470"/>
    <mergeCell ref="A488:E488"/>
    <mergeCell ref="A489:F489"/>
    <mergeCell ref="A490:A491"/>
    <mergeCell ref="B490:B491"/>
    <mergeCell ref="C490:F490"/>
    <mergeCell ref="C491:E491"/>
    <mergeCell ref="B475:E475"/>
    <mergeCell ref="B479:E479"/>
    <mergeCell ref="B482:E482"/>
    <mergeCell ref="A496:E496"/>
    <mergeCell ref="A503:F503"/>
    <mergeCell ref="A504:A505"/>
    <mergeCell ref="B504:B505"/>
    <mergeCell ref="C504:F504"/>
    <mergeCell ref="A547:E547"/>
    <mergeCell ref="M547:N547"/>
    <mergeCell ref="A513:E513"/>
    <mergeCell ref="A514:F514"/>
    <mergeCell ref="A515:A516"/>
    <mergeCell ref="B515:B516"/>
    <mergeCell ref="C515:F515"/>
    <mergeCell ref="C516:E516"/>
    <mergeCell ref="C526:E526"/>
    <mergeCell ref="A527:E527"/>
    <mergeCell ref="A528:F528"/>
    <mergeCell ref="M543:N543"/>
    <mergeCell ref="M544:N544"/>
    <mergeCell ref="H529:I529"/>
    <mergeCell ref="M545:N545"/>
    <mergeCell ref="M546:N546"/>
    <mergeCell ref="B115:E115"/>
    <mergeCell ref="B116:E116"/>
    <mergeCell ref="B117:E117"/>
    <mergeCell ref="B118:E118"/>
    <mergeCell ref="B122:E122"/>
    <mergeCell ref="B128:E128"/>
    <mergeCell ref="B131:E131"/>
    <mergeCell ref="B138:E138"/>
    <mergeCell ref="B139:E139"/>
    <mergeCell ref="B132:F132"/>
    <mergeCell ref="B134:E134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80" firstPageNumber="0" orientation="portrait" verticalDpi="300" r:id="rId1"/>
  <headerFooter>
    <oddHeader>&amp;R2020.01.hó</oddHeader>
  </headerFooter>
  <rowBreaks count="6" manualBreakCount="6">
    <brk id="124" max="16383" man="1"/>
    <brk id="200" max="16383" man="1"/>
    <brk id="282" max="16383" man="1"/>
    <brk id="351" max="16383" man="1"/>
    <brk id="417" max="16383" man="1"/>
    <brk id="48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00"/>
    <pageSetUpPr fitToPage="1"/>
  </sheetPr>
  <dimension ref="A1:K42"/>
  <sheetViews>
    <sheetView topLeftCell="A4" zoomScaleNormal="100" workbookViewId="0">
      <selection activeCell="F7" sqref="F7"/>
    </sheetView>
  </sheetViews>
  <sheetFormatPr defaultRowHeight="12.75" x14ac:dyDescent="0.2"/>
  <cols>
    <col min="1" max="1" width="12.28515625" customWidth="1"/>
    <col min="2" max="2" width="32.42578125" customWidth="1"/>
    <col min="3" max="3" width="14.42578125" customWidth="1"/>
    <col min="4" max="4" width="11.5703125" customWidth="1"/>
    <col min="5" max="6" width="16" style="71" customWidth="1"/>
    <col min="7" max="7" width="15.140625" customWidth="1"/>
    <col min="8" max="10" width="15" bestFit="1" customWidth="1"/>
    <col min="11" max="11" width="15.85546875" customWidth="1"/>
    <col min="12" max="1024" width="8.42578125" customWidth="1"/>
  </cols>
  <sheetData>
    <row r="1" spans="1:11" x14ac:dyDescent="0.2">
      <c r="E1" s="42"/>
      <c r="F1" s="42"/>
      <c r="G1" s="42"/>
      <c r="H1" s="42"/>
      <c r="I1" s="144"/>
      <c r="J1" s="144"/>
    </row>
    <row r="2" spans="1:11" ht="15.75" x14ac:dyDescent="0.25">
      <c r="A2" s="850" t="s">
        <v>606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</row>
    <row r="3" spans="1:11" ht="15.75" x14ac:dyDescent="0.25">
      <c r="A3" s="850" t="s">
        <v>386</v>
      </c>
      <c r="B3" s="850"/>
      <c r="C3" s="850"/>
      <c r="D3" s="850"/>
      <c r="E3" s="850"/>
      <c r="F3" s="850"/>
      <c r="G3" s="850"/>
      <c r="H3" s="850"/>
      <c r="I3" s="850"/>
      <c r="J3" s="850"/>
      <c r="K3" s="850"/>
    </row>
    <row r="4" spans="1:11" ht="18.75" customHeight="1" x14ac:dyDescent="0.2">
      <c r="A4" s="1017" t="s">
        <v>361</v>
      </c>
      <c r="B4" s="1017"/>
      <c r="C4" s="1017"/>
      <c r="D4" s="1017"/>
      <c r="E4" s="1017"/>
      <c r="F4" s="1017"/>
      <c r="G4" s="1017"/>
      <c r="H4" s="1017"/>
      <c r="I4" s="1017"/>
      <c r="J4" s="1017"/>
      <c r="K4" s="1017"/>
    </row>
    <row r="5" spans="1:11" ht="16.5" thickBot="1" x14ac:dyDescent="0.3">
      <c r="A5" s="43"/>
      <c r="B5" s="43"/>
      <c r="C5" s="43"/>
      <c r="D5" s="43"/>
      <c r="E5" s="43"/>
      <c r="F5" s="43"/>
      <c r="K5" s="44" t="s">
        <v>1</v>
      </c>
    </row>
    <row r="6" spans="1:11" ht="13.5" thickBot="1" x14ac:dyDescent="0.25">
      <c r="A6" s="1018" t="s">
        <v>362</v>
      </c>
      <c r="B6" s="1018"/>
      <c r="C6" s="1018"/>
      <c r="D6" s="1018"/>
      <c r="E6" s="1018"/>
      <c r="F6" s="1018" t="s">
        <v>363</v>
      </c>
      <c r="G6" s="1019"/>
      <c r="H6" s="1022" t="s">
        <v>364</v>
      </c>
      <c r="I6" s="1023"/>
      <c r="J6" s="1020" t="s">
        <v>365</v>
      </c>
      <c r="K6" s="1021"/>
    </row>
    <row r="7" spans="1:11" ht="13.5" thickBot="1" x14ac:dyDescent="0.25">
      <c r="A7" s="1018"/>
      <c r="B7" s="1018"/>
      <c r="C7" s="1018"/>
      <c r="D7" s="1018"/>
      <c r="E7" s="1018"/>
      <c r="F7" s="419" t="s">
        <v>601</v>
      </c>
      <c r="G7" s="420" t="s">
        <v>621</v>
      </c>
      <c r="H7" s="419" t="s">
        <v>601</v>
      </c>
      <c r="I7" s="420" t="s">
        <v>621</v>
      </c>
      <c r="J7" s="419" t="s">
        <v>601</v>
      </c>
      <c r="K7" s="420" t="s">
        <v>621</v>
      </c>
    </row>
    <row r="8" spans="1:11" ht="24.95" customHeight="1" x14ac:dyDescent="0.2">
      <c r="A8" s="1016" t="s">
        <v>112</v>
      </c>
      <c r="B8" s="1016"/>
      <c r="C8" s="1016"/>
      <c r="D8" s="1016"/>
      <c r="E8" s="1016"/>
      <c r="F8" s="225">
        <f>SUM('Kiadások COFOG szerint'!C17)</f>
        <v>23360000</v>
      </c>
      <c r="G8" s="18">
        <f>SUM('Kiadások COFOG szerint'!H17)</f>
        <v>29001257</v>
      </c>
      <c r="H8" s="226">
        <f>SUM('Kiadások COFOG szerint'!C19)</f>
        <v>3100000</v>
      </c>
      <c r="I8" s="227">
        <f>SUM('Kiadások COFOG szerint'!H19)</f>
        <v>4000000</v>
      </c>
      <c r="J8" s="225">
        <f>SUM('Kiadások COFOG szerint'!C38)</f>
        <v>28524000</v>
      </c>
      <c r="K8" s="18">
        <f>SUM('Kiadások COFOG szerint'!H38)</f>
        <v>39224400</v>
      </c>
    </row>
    <row r="9" spans="1:11" ht="24.95" customHeight="1" x14ac:dyDescent="0.2">
      <c r="A9" s="1012" t="s">
        <v>118</v>
      </c>
      <c r="B9" s="1012"/>
      <c r="C9" s="1012"/>
      <c r="D9" s="1012"/>
      <c r="E9" s="1012"/>
      <c r="F9" s="225">
        <v>0</v>
      </c>
      <c r="G9" s="18">
        <v>0</v>
      </c>
      <c r="H9" s="226">
        <v>0</v>
      </c>
      <c r="I9" s="227">
        <v>0</v>
      </c>
      <c r="J9" s="225">
        <f>SUM('Kiadások COFOG szerint'!C60:C66)</f>
        <v>952500</v>
      </c>
      <c r="K9" s="18">
        <f>SUM('Kiadások COFOG szerint'!H60:H66)</f>
        <v>952500</v>
      </c>
    </row>
    <row r="10" spans="1:11" ht="24.95" customHeight="1" x14ac:dyDescent="0.2">
      <c r="A10" s="1012" t="s">
        <v>489</v>
      </c>
      <c r="B10" s="1012"/>
      <c r="C10" s="1012"/>
      <c r="D10" s="1012"/>
      <c r="E10" s="1012"/>
      <c r="F10" s="225">
        <v>0</v>
      </c>
      <c r="G10" s="18">
        <v>0</v>
      </c>
      <c r="H10" s="226"/>
      <c r="I10" s="227">
        <v>0</v>
      </c>
      <c r="J10" s="225">
        <f>SUM('Kiadások COFOG szerint'!C75:C82)</f>
        <v>3518440</v>
      </c>
      <c r="K10" s="18">
        <f>SUM('Kiadások COFOG szerint'!H77:H82)</f>
        <v>2484000</v>
      </c>
    </row>
    <row r="11" spans="1:11" ht="24.95" customHeight="1" x14ac:dyDescent="0.2">
      <c r="A11" s="1012" t="s">
        <v>280</v>
      </c>
      <c r="B11" s="1012"/>
      <c r="C11" s="1012"/>
      <c r="D11" s="1012"/>
      <c r="E11" s="1012"/>
      <c r="F11" s="225">
        <f>'Kiadások COFOG szerint'!C90</f>
        <v>300000</v>
      </c>
      <c r="G11" s="18">
        <f>SUM('Kiadások COFOG szerint'!H90)</f>
        <v>60000</v>
      </c>
      <c r="H11" s="226">
        <v>0</v>
      </c>
      <c r="I11" s="227">
        <v>0</v>
      </c>
      <c r="J11" s="225">
        <f>SUM('Kiadások COFOG szerint'!C92:C98)</f>
        <v>4272000</v>
      </c>
      <c r="K11" s="18">
        <f>SUM('Kiadások COFOG szerint'!H92:H98)</f>
        <v>4822000</v>
      </c>
    </row>
    <row r="12" spans="1:11" ht="24.95" customHeight="1" x14ac:dyDescent="0.2">
      <c r="A12" s="1012" t="s">
        <v>490</v>
      </c>
      <c r="B12" s="1012"/>
      <c r="C12" s="1012"/>
      <c r="D12" s="1012"/>
      <c r="E12" s="1012"/>
      <c r="F12" s="225">
        <f>SUM('Kiadások COFOG szerint'!C115)</f>
        <v>3904350</v>
      </c>
      <c r="G12" s="18">
        <f>SUM('Kiadások COFOG szerint'!H115)</f>
        <v>3037600</v>
      </c>
      <c r="H12" s="226">
        <f>SUM('Kiadások COFOG szerint'!C116)</f>
        <v>270000</v>
      </c>
      <c r="I12" s="227">
        <f>'Kiadások COFOG szerint'!H116</f>
        <v>200000</v>
      </c>
      <c r="J12" s="225">
        <f>SUM('Kiadások COFOG szerint'!C117:C118)</f>
        <v>0</v>
      </c>
      <c r="K12" s="18">
        <f>SUM('Kiadások COFOG szerint'!H117:H118)</f>
        <v>20870</v>
      </c>
    </row>
    <row r="13" spans="1:11" ht="24.95" customHeight="1" x14ac:dyDescent="0.2">
      <c r="A13" s="1012" t="s">
        <v>491</v>
      </c>
      <c r="B13" s="1012"/>
      <c r="C13" s="1012"/>
      <c r="D13" s="1012"/>
      <c r="E13" s="1012"/>
      <c r="F13" s="225">
        <f>SUM('Kiadások COFOG szerint'!C125:C126)</f>
        <v>0</v>
      </c>
      <c r="G13" s="18">
        <f>SUM('Kiadások COFOG szerint'!H125:H126)</f>
        <v>0</v>
      </c>
      <c r="H13" s="226">
        <f>SUM('Kiadások COFOG szerint'!C127)</f>
        <v>0</v>
      </c>
      <c r="I13" s="227">
        <f>'Kiadások COFOG szerint'!H127</f>
        <v>0</v>
      </c>
      <c r="J13" s="225">
        <f>SUM('Kiadások COFOG szerint'!C128:C129)</f>
        <v>0</v>
      </c>
      <c r="K13" s="18">
        <f>'Kiadások COFOG szerint'!H128+'Kiadások COFOG szerint'!H129</f>
        <v>0</v>
      </c>
    </row>
    <row r="14" spans="1:11" ht="24.95" customHeight="1" x14ac:dyDescent="0.2">
      <c r="A14" s="1012" t="s">
        <v>282</v>
      </c>
      <c r="B14" s="1012"/>
      <c r="C14" s="1012"/>
      <c r="D14" s="1012"/>
      <c r="E14" s="1012"/>
      <c r="F14" s="225">
        <v>0</v>
      </c>
      <c r="G14" s="18">
        <v>0</v>
      </c>
      <c r="H14" s="226">
        <v>0</v>
      </c>
      <c r="I14" s="227">
        <v>0</v>
      </c>
      <c r="J14" s="225">
        <f>SUM('Kiadások COFOG szerint'!C134:C138)</f>
        <v>7030000</v>
      </c>
      <c r="K14" s="18">
        <f>'Kiadások COFOG szerint'!H134+'Kiadások COFOG szerint'!H135+'Kiadások COFOG szerint'!H136+'Kiadások COFOG szerint'!H138</f>
        <v>7030000</v>
      </c>
    </row>
    <row r="15" spans="1:11" ht="24.95" customHeight="1" x14ac:dyDescent="0.2">
      <c r="A15" s="1012" t="s">
        <v>131</v>
      </c>
      <c r="B15" s="1012"/>
      <c r="C15" s="1012"/>
      <c r="D15" s="1012"/>
      <c r="E15" s="1012"/>
      <c r="F15" s="225">
        <v>0</v>
      </c>
      <c r="G15" s="18">
        <v>0</v>
      </c>
      <c r="H15" s="226"/>
      <c r="I15" s="227">
        <v>0</v>
      </c>
      <c r="J15" s="225"/>
      <c r="K15" s="18">
        <v>0</v>
      </c>
    </row>
    <row r="16" spans="1:11" ht="24.95" customHeight="1" x14ac:dyDescent="0.2">
      <c r="A16" s="1012" t="s">
        <v>283</v>
      </c>
      <c r="B16" s="1012"/>
      <c r="C16" s="1012"/>
      <c r="D16" s="1012"/>
      <c r="E16" s="1012"/>
      <c r="F16" s="225">
        <v>0</v>
      </c>
      <c r="G16" s="18">
        <v>0</v>
      </c>
      <c r="H16" s="226">
        <v>0</v>
      </c>
      <c r="I16" s="227">
        <v>0</v>
      </c>
      <c r="J16" s="225">
        <f>SUM('Kiadások COFOG szerint'!C164:C167)</f>
        <v>9840000</v>
      </c>
      <c r="K16" s="18">
        <f>'Kiadások COFOG szerint'!H168</f>
        <v>9840000</v>
      </c>
    </row>
    <row r="17" spans="1:11" ht="24.95" customHeight="1" x14ac:dyDescent="0.2">
      <c r="A17" s="1012" t="s">
        <v>284</v>
      </c>
      <c r="B17" s="1012"/>
      <c r="C17" s="1012"/>
      <c r="D17" s="1012"/>
      <c r="E17" s="1012"/>
      <c r="F17" s="225">
        <f>SUM('Kiadások COFOG szerint'!C172:C176)</f>
        <v>4060000</v>
      </c>
      <c r="G17" s="18">
        <f>SUM('Kiadások COFOG szerint'!H172:H176)</f>
        <v>3910000</v>
      </c>
      <c r="H17" s="226">
        <f>'Kiadások COFOG szerint'!C179</f>
        <v>900000</v>
      </c>
      <c r="I17" s="227">
        <f>'Kiadások COFOG szerint'!H179</f>
        <v>900000</v>
      </c>
      <c r="J17" s="225">
        <f>SUM('Kiadások COFOG szerint'!C181:C190)</f>
        <v>8060600</v>
      </c>
      <c r="K17" s="18">
        <f>SUM('Kiadások COFOG szerint'!H181:H190)</f>
        <v>7605600</v>
      </c>
    </row>
    <row r="18" spans="1:11" ht="24.95" customHeight="1" x14ac:dyDescent="0.2">
      <c r="A18" s="1012" t="s">
        <v>132</v>
      </c>
      <c r="B18" s="1012"/>
      <c r="C18" s="1012"/>
      <c r="D18" s="1012"/>
      <c r="E18" s="1012"/>
      <c r="F18" s="225">
        <f>SUM('Kiadások COFOG szerint'!C201:C209)</f>
        <v>6140000</v>
      </c>
      <c r="G18" s="18">
        <f>SUM('Kiadások COFOG szerint'!H201:H209)</f>
        <v>6140000</v>
      </c>
      <c r="H18" s="226">
        <f>SUM('Kiadások COFOG szerint'!C210:C210)</f>
        <v>815000</v>
      </c>
      <c r="I18" s="227">
        <f>SUM('Kiadások COFOG szerint'!H210:H210)</f>
        <v>815000</v>
      </c>
      <c r="J18" s="225">
        <f>SUM('Kiadások COFOG szerint'!C211:C219)</f>
        <v>629300</v>
      </c>
      <c r="K18" s="18">
        <f>SUM('Kiadások COFOG szerint'!H211:H219)</f>
        <v>784000</v>
      </c>
    </row>
    <row r="19" spans="1:11" ht="24.95" customHeight="1" x14ac:dyDescent="0.2">
      <c r="A19" s="1012" t="s">
        <v>425</v>
      </c>
      <c r="B19" s="1012"/>
      <c r="C19" s="1012"/>
      <c r="D19" s="1012"/>
      <c r="E19" s="1012"/>
      <c r="F19" s="225">
        <v>0</v>
      </c>
      <c r="G19" s="18">
        <v>0</v>
      </c>
      <c r="H19" s="226">
        <v>0</v>
      </c>
      <c r="I19" s="227">
        <v>0</v>
      </c>
      <c r="J19" s="225">
        <f>SUM('Kiadások COFOG szerint'!C229)</f>
        <v>128400</v>
      </c>
      <c r="K19" s="18">
        <f>SUM('Kiadások COFOG szerint'!H229)</f>
        <v>128400</v>
      </c>
    </row>
    <row r="20" spans="1:11" ht="24.95" customHeight="1" x14ac:dyDescent="0.2">
      <c r="A20" s="1012" t="s">
        <v>428</v>
      </c>
      <c r="B20" s="1012"/>
      <c r="C20" s="1012"/>
      <c r="D20" s="1012"/>
      <c r="E20" s="1012"/>
      <c r="F20" s="225">
        <f>SUM('Kiadások COFOG szerint'!C240)</f>
        <v>0</v>
      </c>
      <c r="G20" s="18">
        <f>'Kiadások COFOG szerint'!H240</f>
        <v>0</v>
      </c>
      <c r="H20" s="226">
        <f>SUM('Kiadások COFOG szerint'!C241)</f>
        <v>0</v>
      </c>
      <c r="I20" s="227">
        <f>'Kiadások COFOG szerint'!H241</f>
        <v>0</v>
      </c>
      <c r="J20" s="225">
        <f>SUM('Kiadások COFOG szerint'!C243:C245)</f>
        <v>0</v>
      </c>
      <c r="K20" s="18">
        <f>SUM('Kiadások COFOG szerint'!H243:H245)</f>
        <v>0</v>
      </c>
    </row>
    <row r="21" spans="1:11" ht="24.95" customHeight="1" x14ac:dyDescent="0.2">
      <c r="A21" s="1012" t="s">
        <v>134</v>
      </c>
      <c r="B21" s="1012"/>
      <c r="C21" s="1012"/>
      <c r="D21" s="1012"/>
      <c r="E21" s="1012"/>
      <c r="F21" s="225">
        <f>SUM('Kiadások COFOG szerint'!C257:C260)</f>
        <v>7210000</v>
      </c>
      <c r="G21" s="18">
        <f>SUM('Kiadások COFOG szerint'!H257:H260)</f>
        <v>7410000</v>
      </c>
      <c r="H21" s="226">
        <f>SUM('Kiadások COFOG szerint'!C262)</f>
        <v>1100000</v>
      </c>
      <c r="I21" s="227">
        <f>'Kiadások COFOG szerint'!H262</f>
        <v>1100000</v>
      </c>
      <c r="J21" s="225">
        <f>SUM('Kiadások COFOG szerint'!C263:C269)</f>
        <v>25285000</v>
      </c>
      <c r="K21" s="18">
        <f>SUM('Kiadások COFOG szerint'!H263:H269)</f>
        <v>25421973</v>
      </c>
    </row>
    <row r="22" spans="1:11" ht="24.95" customHeight="1" x14ac:dyDescent="0.2">
      <c r="A22" s="1012" t="s">
        <v>447</v>
      </c>
      <c r="B22" s="1012"/>
      <c r="C22" s="1012"/>
      <c r="D22" s="1012"/>
      <c r="E22" s="1012"/>
      <c r="F22" s="225">
        <v>0</v>
      </c>
      <c r="G22" s="18">
        <v>0</v>
      </c>
      <c r="H22" s="226">
        <v>0</v>
      </c>
      <c r="I22" s="227">
        <v>0</v>
      </c>
      <c r="J22" s="225">
        <f>SUM('Kiadások COFOG szerint'!C288)</f>
        <v>2286000</v>
      </c>
      <c r="K22" s="18">
        <f>'Kiadások COFOG szerint'!H288</f>
        <v>2286000</v>
      </c>
    </row>
    <row r="23" spans="1:11" ht="24.95" customHeight="1" x14ac:dyDescent="0.2">
      <c r="A23" s="1012" t="s">
        <v>296</v>
      </c>
      <c r="B23" s="1012"/>
      <c r="C23" s="1012"/>
      <c r="D23" s="1012"/>
      <c r="E23" s="1012"/>
      <c r="F23" s="225">
        <v>0</v>
      </c>
      <c r="G23" s="18">
        <v>0</v>
      </c>
      <c r="H23" s="226">
        <v>0</v>
      </c>
      <c r="I23" s="227">
        <v>0</v>
      </c>
      <c r="J23" s="225">
        <v>0</v>
      </c>
      <c r="K23" s="18">
        <f>'Kiadások COFOG szerint'!H294</f>
        <v>0</v>
      </c>
    </row>
    <row r="24" spans="1:11" ht="24.95" customHeight="1" x14ac:dyDescent="0.2">
      <c r="A24" s="1012" t="s">
        <v>492</v>
      </c>
      <c r="B24" s="1012"/>
      <c r="C24" s="1012"/>
      <c r="D24" s="1012"/>
      <c r="E24" s="1012"/>
      <c r="F24" s="225">
        <f>SUM('Kiadások COFOG szerint'!C303:C305)</f>
        <v>0</v>
      </c>
      <c r="G24" s="18">
        <f>SUM('Kiadások COFOG szerint'!H303:H305)</f>
        <v>0</v>
      </c>
      <c r="H24" s="226">
        <f>SUM('Kiadások COFOG szerint'!C307)</f>
        <v>260000</v>
      </c>
      <c r="I24" s="227">
        <f>SUM('Kiadások COFOG szerint'!H307)</f>
        <v>260000</v>
      </c>
      <c r="J24" s="225">
        <f>SUM('Kiadások COFOG szerint'!C308)</f>
        <v>0</v>
      </c>
      <c r="K24" s="18">
        <f>SUM('Kiadások COFOG szerint'!H308)</f>
        <v>0</v>
      </c>
    </row>
    <row r="25" spans="1:11" ht="24.95" customHeight="1" thickBot="1" x14ac:dyDescent="0.25">
      <c r="A25" s="1013" t="s">
        <v>366</v>
      </c>
      <c r="B25" s="1013"/>
      <c r="C25" s="1013"/>
      <c r="D25" s="1013"/>
      <c r="E25" s="1013"/>
      <c r="F25" s="228">
        <v>0</v>
      </c>
      <c r="G25" s="26">
        <v>0</v>
      </c>
      <c r="H25" s="229">
        <v>0</v>
      </c>
      <c r="I25" s="230">
        <v>0</v>
      </c>
      <c r="J25" s="228">
        <f>SUM('Kiadások COFOG szerint'!C314:C317)</f>
        <v>529000</v>
      </c>
      <c r="K25" s="26">
        <f>SUM('Kiadások COFOG szerint'!H314:H317)</f>
        <v>4624000</v>
      </c>
    </row>
    <row r="26" spans="1:11" ht="27.75" customHeight="1" thickBot="1" x14ac:dyDescent="0.25">
      <c r="A26" s="1014" t="s">
        <v>367</v>
      </c>
      <c r="B26" s="1014"/>
      <c r="C26" s="1014"/>
      <c r="D26" s="1014"/>
      <c r="E26" s="1015"/>
      <c r="F26" s="422">
        <f>SUM(F8:F25)</f>
        <v>44974350</v>
      </c>
      <c r="G26" s="422">
        <f t="shared" ref="G26:K26" si="0">SUM(G8:G25)</f>
        <v>49558857</v>
      </c>
      <c r="H26" s="422">
        <f t="shared" si="0"/>
        <v>6445000</v>
      </c>
      <c r="I26" s="422">
        <f t="shared" si="0"/>
        <v>7275000</v>
      </c>
      <c r="J26" s="422">
        <f t="shared" si="0"/>
        <v>91055240</v>
      </c>
      <c r="K26" s="422">
        <f t="shared" si="0"/>
        <v>105223743</v>
      </c>
    </row>
    <row r="30" spans="1:11" x14ac:dyDescent="0.2">
      <c r="G30" s="231"/>
      <c r="H30" s="231"/>
      <c r="I30" s="231"/>
      <c r="J30" s="231"/>
      <c r="K30" s="231"/>
    </row>
    <row r="31" spans="1:11" x14ac:dyDescent="0.2">
      <c r="G31" s="231"/>
      <c r="H31" s="231"/>
      <c r="I31" s="231"/>
      <c r="J31" s="231"/>
      <c r="K31" s="231"/>
    </row>
    <row r="32" spans="1:11" x14ac:dyDescent="0.2">
      <c r="G32" s="231"/>
      <c r="H32" s="231"/>
      <c r="I32" s="231"/>
      <c r="J32" s="231"/>
      <c r="K32" s="231"/>
    </row>
    <row r="33" spans="7:11" x14ac:dyDescent="0.2">
      <c r="G33" s="231"/>
      <c r="H33" s="231"/>
      <c r="I33" s="231"/>
      <c r="J33" s="231"/>
      <c r="K33" s="231"/>
    </row>
    <row r="34" spans="7:11" x14ac:dyDescent="0.2">
      <c r="G34" s="231"/>
      <c r="H34" s="231"/>
      <c r="I34" s="231"/>
      <c r="J34" s="231"/>
      <c r="K34" s="231"/>
    </row>
    <row r="35" spans="7:11" x14ac:dyDescent="0.2">
      <c r="G35" s="231"/>
      <c r="H35" s="231"/>
      <c r="I35" s="231"/>
      <c r="J35" s="231"/>
      <c r="K35" s="231"/>
    </row>
    <row r="36" spans="7:11" x14ac:dyDescent="0.2">
      <c r="G36" s="231"/>
      <c r="H36" s="231"/>
      <c r="I36" s="231"/>
      <c r="J36" s="231"/>
      <c r="K36" s="231"/>
    </row>
    <row r="37" spans="7:11" x14ac:dyDescent="0.2">
      <c r="G37" s="231"/>
      <c r="H37" s="231"/>
      <c r="I37" s="231"/>
      <c r="J37" s="231"/>
      <c r="K37" s="231"/>
    </row>
    <row r="38" spans="7:11" x14ac:dyDescent="0.2">
      <c r="G38" s="231"/>
      <c r="H38" s="231"/>
      <c r="I38" s="231"/>
      <c r="J38" s="231"/>
      <c r="K38" s="231"/>
    </row>
    <row r="39" spans="7:11" x14ac:dyDescent="0.2">
      <c r="G39" s="231"/>
      <c r="H39" s="231"/>
      <c r="I39" s="231"/>
      <c r="J39" s="231"/>
      <c r="K39" s="231"/>
    </row>
    <row r="40" spans="7:11" x14ac:dyDescent="0.2">
      <c r="G40" s="231"/>
      <c r="H40" s="231"/>
      <c r="I40" s="231"/>
      <c r="J40" s="231"/>
      <c r="K40" s="231"/>
    </row>
    <row r="41" spans="7:11" x14ac:dyDescent="0.2">
      <c r="G41" s="231"/>
      <c r="H41" s="231"/>
      <c r="I41" s="231"/>
      <c r="J41" s="231"/>
      <c r="K41" s="231"/>
    </row>
    <row r="42" spans="7:11" x14ac:dyDescent="0.2">
      <c r="G42" s="101"/>
      <c r="H42" s="101"/>
      <c r="I42" s="101"/>
      <c r="J42" s="101"/>
      <c r="K42" s="101"/>
    </row>
  </sheetData>
  <mergeCells count="26">
    <mergeCell ref="A2:K2"/>
    <mergeCell ref="A3:K3"/>
    <mergeCell ref="A4:K4"/>
    <mergeCell ref="A6:E7"/>
    <mergeCell ref="F6:G6"/>
    <mergeCell ref="J6:K6"/>
    <mergeCell ref="H6:I6"/>
    <mergeCell ref="A8:E8"/>
    <mergeCell ref="A9:E9"/>
    <mergeCell ref="A11:E11"/>
    <mergeCell ref="A14:E14"/>
    <mergeCell ref="A10:E10"/>
    <mergeCell ref="A12:E12"/>
    <mergeCell ref="A13:E13"/>
    <mergeCell ref="A22:E22"/>
    <mergeCell ref="A21:E21"/>
    <mergeCell ref="A25:E25"/>
    <mergeCell ref="A26:E26"/>
    <mergeCell ref="A15:E15"/>
    <mergeCell ref="A16:E16"/>
    <mergeCell ref="A17:E17"/>
    <mergeCell ref="A18:E18"/>
    <mergeCell ref="A23:E23"/>
    <mergeCell ref="A19:E19"/>
    <mergeCell ref="A20:E20"/>
    <mergeCell ref="A24:E24"/>
  </mergeCells>
  <pageMargins left="0.59055118110236227" right="0.59055118110236227" top="0.98425196850393704" bottom="0.59055118110236227" header="0.51181102362204722" footer="0.51181102362204722"/>
  <pageSetup paperSize="9" scale="67" firstPageNumber="0" orientation="landscape" verticalDpi="300" r:id="rId1"/>
  <colBreaks count="1" manualBreakCount="1">
    <brk id="11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9"/>
  <sheetViews>
    <sheetView view="pageBreakPreview" zoomScale="96" zoomScaleNormal="100" zoomScaleSheetLayoutView="96" workbookViewId="0">
      <selection activeCell="A6" sqref="A6"/>
    </sheetView>
  </sheetViews>
  <sheetFormatPr defaultRowHeight="12.75" x14ac:dyDescent="0.2"/>
  <cols>
    <col min="2" max="2" width="61.5703125" customWidth="1"/>
    <col min="3" max="3" width="17.85546875" customWidth="1"/>
  </cols>
  <sheetData>
    <row r="1" spans="1:3" x14ac:dyDescent="0.2">
      <c r="C1" s="394" t="s">
        <v>516</v>
      </c>
    </row>
    <row r="2" spans="1:3" ht="15.75" x14ac:dyDescent="0.25">
      <c r="B2" s="43" t="s">
        <v>606</v>
      </c>
    </row>
    <row r="3" spans="1:3" ht="15.75" x14ac:dyDescent="0.25">
      <c r="B3" s="43" t="s">
        <v>386</v>
      </c>
    </row>
    <row r="5" spans="1:3" x14ac:dyDescent="0.2">
      <c r="A5" s="1024" t="s">
        <v>664</v>
      </c>
      <c r="B5" s="1024"/>
      <c r="C5" s="1024"/>
    </row>
    <row r="6" spans="1:3" x14ac:dyDescent="0.2">
      <c r="A6" s="395"/>
      <c r="B6" s="395"/>
      <c r="C6" s="395"/>
    </row>
    <row r="7" spans="1:3" ht="13.5" thickBot="1" x14ac:dyDescent="0.25"/>
    <row r="8" spans="1:3" x14ac:dyDescent="0.2">
      <c r="B8" s="396" t="s">
        <v>517</v>
      </c>
      <c r="C8" s="397">
        <v>92504100</v>
      </c>
    </row>
    <row r="9" spans="1:3" x14ac:dyDescent="0.2">
      <c r="B9" s="398" t="s">
        <v>662</v>
      </c>
      <c r="C9" s="399">
        <v>106304720</v>
      </c>
    </row>
    <row r="10" spans="1:3" x14ac:dyDescent="0.2">
      <c r="B10" s="398" t="s">
        <v>524</v>
      </c>
      <c r="C10" s="399">
        <v>48826937</v>
      </c>
    </row>
    <row r="11" spans="1:3" x14ac:dyDescent="0.2">
      <c r="B11" s="398" t="s">
        <v>525</v>
      </c>
      <c r="C11" s="399">
        <v>3553131</v>
      </c>
    </row>
    <row r="12" spans="1:3" x14ac:dyDescent="0.2">
      <c r="B12" s="398" t="s">
        <v>526</v>
      </c>
      <c r="C12" s="399">
        <v>0</v>
      </c>
    </row>
    <row r="13" spans="1:3" x14ac:dyDescent="0.2">
      <c r="B13" s="398" t="s">
        <v>518</v>
      </c>
      <c r="C13" s="399">
        <v>0</v>
      </c>
    </row>
    <row r="14" spans="1:3" x14ac:dyDescent="0.2">
      <c r="B14" s="398" t="s">
        <v>519</v>
      </c>
      <c r="C14" s="399">
        <v>0</v>
      </c>
    </row>
    <row r="15" spans="1:3" ht="13.5" thickBot="1" x14ac:dyDescent="0.25">
      <c r="B15" s="408" t="s">
        <v>523</v>
      </c>
      <c r="C15" s="409">
        <v>0</v>
      </c>
    </row>
    <row r="16" spans="1:3" ht="13.5" thickBot="1" x14ac:dyDescent="0.25">
      <c r="B16" s="400" t="s">
        <v>520</v>
      </c>
      <c r="C16" s="401">
        <f>SUM(C8:C15)</f>
        <v>251188888</v>
      </c>
    </row>
    <row r="18" spans="1:8" ht="13.5" thickBot="1" x14ac:dyDescent="0.25"/>
    <row r="19" spans="1:8" ht="18.75" thickBot="1" x14ac:dyDescent="0.5">
      <c r="A19" s="1025" t="s">
        <v>521</v>
      </c>
      <c r="B19" s="1026"/>
      <c r="C19" s="1027"/>
    </row>
    <row r="20" spans="1:8" ht="22.5" x14ac:dyDescent="0.6">
      <c r="A20" s="402"/>
      <c r="B20" s="403" t="s">
        <v>654</v>
      </c>
      <c r="C20" s="163">
        <v>106304720</v>
      </c>
    </row>
    <row r="21" spans="1:8" ht="22.5" x14ac:dyDescent="0.6">
      <c r="A21" s="404"/>
      <c r="B21" s="530" t="s">
        <v>507</v>
      </c>
      <c r="C21" s="163">
        <v>48529410</v>
      </c>
      <c r="E21" s="102"/>
      <c r="F21" s="102"/>
      <c r="G21" s="102"/>
      <c r="H21" s="102"/>
    </row>
    <row r="22" spans="1:8" ht="22.5" x14ac:dyDescent="0.6">
      <c r="A22" s="404"/>
      <c r="B22" s="405" t="s">
        <v>592</v>
      </c>
      <c r="C22" s="389">
        <v>3553131</v>
      </c>
      <c r="E22" s="102"/>
      <c r="F22" s="102"/>
      <c r="G22" s="102"/>
      <c r="H22" s="102"/>
    </row>
    <row r="23" spans="1:8" ht="22.5" x14ac:dyDescent="0.6">
      <c r="A23" s="404"/>
      <c r="B23" s="405" t="s">
        <v>655</v>
      </c>
      <c r="C23" s="155">
        <v>10000000</v>
      </c>
      <c r="E23" s="102"/>
      <c r="F23" s="102"/>
      <c r="G23" s="102"/>
      <c r="H23" s="102"/>
    </row>
    <row r="24" spans="1:8" ht="22.5" x14ac:dyDescent="0.6">
      <c r="A24" s="404"/>
      <c r="B24" s="405" t="s">
        <v>657</v>
      </c>
      <c r="C24" s="155">
        <v>1500000</v>
      </c>
      <c r="E24" s="102"/>
      <c r="F24" s="102"/>
      <c r="G24" s="102"/>
      <c r="H24" s="102"/>
    </row>
    <row r="25" spans="1:8" ht="22.5" x14ac:dyDescent="0.6">
      <c r="A25" s="404"/>
      <c r="B25" s="405" t="s">
        <v>656</v>
      </c>
      <c r="C25" s="155">
        <v>6500000</v>
      </c>
      <c r="E25" s="102"/>
      <c r="F25" s="102"/>
      <c r="G25" s="102"/>
      <c r="H25" s="102"/>
    </row>
    <row r="26" spans="1:8" ht="22.5" x14ac:dyDescent="0.6">
      <c r="A26" s="406"/>
      <c r="B26" s="405" t="s">
        <v>661</v>
      </c>
      <c r="C26" s="155">
        <v>167640</v>
      </c>
      <c r="E26" s="102"/>
      <c r="F26" s="102"/>
      <c r="G26" s="102"/>
      <c r="H26" s="102"/>
    </row>
    <row r="27" spans="1:8" ht="22.5" x14ac:dyDescent="0.6">
      <c r="A27" s="406"/>
      <c r="B27" s="405" t="s">
        <v>663</v>
      </c>
      <c r="C27" s="155">
        <v>340200</v>
      </c>
      <c r="E27" s="102"/>
      <c r="F27" s="102"/>
      <c r="G27" s="102"/>
      <c r="H27" s="102"/>
    </row>
    <row r="28" spans="1:8" ht="23.25" thickBot="1" x14ac:dyDescent="0.65">
      <c r="A28" s="406"/>
      <c r="B28" s="531" t="s">
        <v>593</v>
      </c>
      <c r="C28" s="155">
        <v>256448</v>
      </c>
      <c r="E28" s="102"/>
      <c r="F28" s="102"/>
      <c r="G28" s="102"/>
      <c r="H28" s="102"/>
    </row>
    <row r="29" spans="1:8" ht="18.75" thickBot="1" x14ac:dyDescent="0.5">
      <c r="A29" s="1028" t="s">
        <v>522</v>
      </c>
      <c r="B29" s="1029"/>
      <c r="C29" s="407">
        <f>SUM(C20:C28)</f>
        <v>177151549</v>
      </c>
    </row>
  </sheetData>
  <mergeCells count="3">
    <mergeCell ref="A5:C5"/>
    <mergeCell ref="A19:C19"/>
    <mergeCell ref="A29:B29"/>
  </mergeCells>
  <phoneticPr fontId="33" type="noConversion"/>
  <pageMargins left="0.59055118110236227" right="0.59055118110236227" top="0.98425196850393704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8</vt:i4>
      </vt:variant>
    </vt:vector>
  </HeadingPairs>
  <TitlesOfParts>
    <vt:vector size="16" baseType="lpstr">
      <vt:lpstr>Mérleg(önkormányzat 2023)</vt:lpstr>
      <vt:lpstr>Bevételek(önkormányzat 2023</vt:lpstr>
      <vt:lpstr>Bevételek COFOG szerint 2023</vt:lpstr>
      <vt:lpstr>Kiadások(önkormányzat 2023)</vt:lpstr>
      <vt:lpstr>Kiadások COFOG szerint</vt:lpstr>
      <vt:lpstr>Kiadások részletes COFOG</vt:lpstr>
      <vt:lpstr>Kiadások COFOG összesítő</vt:lpstr>
      <vt:lpstr>Pénzmaradvány 2020</vt:lpstr>
      <vt:lpstr>'Bevételek COFOG szerint 2023'!Nyomtatási_terület</vt:lpstr>
      <vt:lpstr>'Bevételek(önkormányzat 2023'!Nyomtatási_terület</vt:lpstr>
      <vt:lpstr>'Kiadások COFOG összesítő'!Nyomtatási_terület</vt:lpstr>
      <vt:lpstr>'Kiadások COFOG szerint'!Nyomtatási_terület</vt:lpstr>
      <vt:lpstr>'Kiadások részletes COFOG'!Nyomtatási_terület</vt:lpstr>
      <vt:lpstr>'Kiadások(önkormányzat 2023)'!Nyomtatási_terület</vt:lpstr>
      <vt:lpstr>'Mérleg(önkormányzat 2023)'!Nyomtatási_terület</vt:lpstr>
      <vt:lpstr>'Pénzmaradvány 2020'!Nyomtatási_terület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SzZsuzsi</dc:creator>
  <dc:description/>
  <cp:lastModifiedBy>Rozbora Timea</cp:lastModifiedBy>
  <cp:revision>7</cp:revision>
  <cp:lastPrinted>2023-05-18T06:03:48Z</cp:lastPrinted>
  <dcterms:created xsi:type="dcterms:W3CDTF">2016-01-02T07:45:43Z</dcterms:created>
  <dcterms:modified xsi:type="dcterms:W3CDTF">2023-10-25T06:55:45Z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