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kument\word\Anikó\A testület\képviselő testület\előterjesztések\2023\2023.10.31\"/>
    </mc:Choice>
  </mc:AlternateContent>
  <xr:revisionPtr revIDLastSave="0" documentId="13_ncr:1_{65C7BFF0-392E-4342-AED3-4C0733B25C8B}" xr6:coauthVersionLast="47" xr6:coauthVersionMax="47" xr10:uidLastSave="{00000000-0000-0000-0000-000000000000}"/>
  <workbookProtection workbookAlgorithmName="SHA-512" workbookHashValue="5gTsl4az53xrw335EGrGnf2OD39WZbDixVqUKFlJc3Af2IFh2/wxgn2hjCWp5aV586jvrIPXrk62kI4hBwH3QA==" workbookSaltValue="kP6NDK+XttaNW83E40UU3Q==" workbookSpinCount="100000" lockStructure="1"/>
  <bookViews>
    <workbookView xWindow="-120" yWindow="-120" windowWidth="29040" windowHeight="15840" activeTab="3" xr2:uid="{00000000-000D-0000-FFFF-FFFF00000000}"/>
  </bookViews>
  <sheets>
    <sheet name="Mérleg(Óvoda 2023)" sheetId="4" r:id="rId1"/>
    <sheet name="Bevételek(Óvoda 2023)" sheetId="7" r:id="rId2"/>
    <sheet name="Bevételek COFOG" sheetId="2" state="hidden" r:id="rId3"/>
    <sheet name="Kiadások(Óvoda 2023)" sheetId="3" r:id="rId4"/>
    <sheet name="Kiadások COFOG szerint" sheetId="5" state="hidden" r:id="rId5"/>
    <sheet name="Részletes cofogos" sheetId="8" state="hidden" r:id="rId6"/>
  </sheets>
  <definedNames>
    <definedName name="_xlnm._FilterDatabase" localSheetId="4" hidden="1">'Kiadások COFOG szerint'!$A$1:$A$99</definedName>
    <definedName name="_xlnm.Print_Area" localSheetId="2">'Bevételek COFOG'!$A$1:$I$31</definedName>
    <definedName name="_xlnm.Print_Area" localSheetId="1">'Bevételek(Óvoda 2023)'!$A$1:$I$21</definedName>
    <definedName name="_xlnm.Print_Area" localSheetId="4">'Kiadások COFOG szerint'!$A$1:$H$99</definedName>
    <definedName name="_xlnm.Print_Area" localSheetId="3">'Kiadások(Óvoda 2023)'!$A$1:$I$47</definedName>
    <definedName name="_xlnm.Print_Area" localSheetId="0">'Mérleg(Óvoda 2023)'!$A$1:$P$31</definedName>
  </definedNames>
  <calcPr calcId="181029"/>
</workbook>
</file>

<file path=xl/calcChain.xml><?xml version="1.0" encoding="utf-8"?>
<calcChain xmlns="http://schemas.openxmlformats.org/spreadsheetml/2006/main">
  <c r="J95" i="5" l="1"/>
  <c r="J96" i="5"/>
  <c r="J97" i="5"/>
  <c r="J94" i="5"/>
  <c r="J86" i="5"/>
  <c r="J87" i="5"/>
  <c r="J88" i="5"/>
  <c r="J89" i="5"/>
  <c r="J85" i="5"/>
  <c r="J26" i="5" l="1"/>
  <c r="J27" i="5"/>
  <c r="J28" i="5"/>
  <c r="J29" i="5"/>
  <c r="J30" i="5"/>
  <c r="J31" i="5"/>
  <c r="J32" i="5"/>
  <c r="J33" i="5"/>
  <c r="J34" i="5"/>
  <c r="J36" i="5"/>
  <c r="J37" i="5"/>
  <c r="J43" i="5"/>
  <c r="J44" i="5"/>
  <c r="J45" i="5"/>
  <c r="J52" i="5"/>
  <c r="J53" i="5"/>
  <c r="J54" i="5"/>
  <c r="J57" i="5"/>
  <c r="J58" i="5"/>
  <c r="J60" i="5"/>
  <c r="J62" i="5"/>
  <c r="J63" i="5"/>
  <c r="J71" i="5"/>
  <c r="J72" i="5"/>
  <c r="J73" i="5"/>
  <c r="J74" i="5"/>
  <c r="J75" i="5"/>
  <c r="J76" i="5"/>
  <c r="J78" i="5"/>
  <c r="J79" i="5"/>
  <c r="J10" i="5"/>
  <c r="J11" i="5"/>
  <c r="J12" i="5"/>
  <c r="J13" i="5"/>
  <c r="J14" i="5"/>
  <c r="J15" i="5"/>
  <c r="J16" i="5"/>
  <c r="J17" i="5"/>
  <c r="J19" i="5"/>
  <c r="J20" i="5"/>
  <c r="J21" i="5"/>
  <c r="J9" i="5"/>
  <c r="H11" i="3"/>
  <c r="G23" i="8"/>
  <c r="H88" i="5"/>
  <c r="F88" i="5" s="1"/>
  <c r="L19" i="4" l="1"/>
  <c r="E28" i="3"/>
  <c r="E29" i="3"/>
  <c r="E30" i="3"/>
  <c r="E31" i="3"/>
  <c r="E32" i="3"/>
  <c r="E27" i="3"/>
  <c r="E37" i="3"/>
  <c r="E36" i="3"/>
  <c r="E38" i="3" s="1"/>
  <c r="M19" i="4" s="1"/>
  <c r="E23" i="3"/>
  <c r="E24" i="3"/>
  <c r="E25" i="3"/>
  <c r="E22" i="3"/>
  <c r="E20" i="3"/>
  <c r="E19" i="3"/>
  <c r="E21" i="3" s="1"/>
  <c r="M10" i="4" s="1"/>
  <c r="E17" i="3"/>
  <c r="E16" i="3"/>
  <c r="E15" i="3"/>
  <c r="E14" i="3"/>
  <c r="E13" i="3"/>
  <c r="E12" i="3"/>
  <c r="E11" i="3"/>
  <c r="E10" i="3"/>
  <c r="E8" i="3"/>
  <c r="E96" i="5"/>
  <c r="E93" i="5"/>
  <c r="E80" i="5"/>
  <c r="J80" i="5" s="1"/>
  <c r="E77" i="5"/>
  <c r="J77" i="5" s="1"/>
  <c r="E66" i="5"/>
  <c r="E51" i="5"/>
  <c r="J51" i="5" s="1"/>
  <c r="E46" i="5"/>
  <c r="J46" i="5" s="1"/>
  <c r="E38" i="5"/>
  <c r="J38" i="5" s="1"/>
  <c r="E35" i="5"/>
  <c r="G68" i="8"/>
  <c r="H43" i="5"/>
  <c r="H44" i="5" s="1"/>
  <c r="E44" i="5"/>
  <c r="D44" i="5"/>
  <c r="C44" i="5"/>
  <c r="H17" i="5"/>
  <c r="E21" i="5"/>
  <c r="E97" i="5" l="1"/>
  <c r="E81" i="5"/>
  <c r="J81" i="5" s="1"/>
  <c r="E61" i="5"/>
  <c r="E67" i="5" s="1"/>
  <c r="E26" i="3"/>
  <c r="E33" i="3" s="1"/>
  <c r="M11" i="4" s="1"/>
  <c r="E39" i="5"/>
  <c r="J39" i="5" s="1"/>
  <c r="J35" i="5"/>
  <c r="F43" i="5"/>
  <c r="F44" i="5" s="1"/>
  <c r="E18" i="5"/>
  <c r="E22" i="5" l="1"/>
  <c r="J22" i="5" s="1"/>
  <c r="J18" i="5"/>
  <c r="E99" i="5"/>
  <c r="G25" i="2"/>
  <c r="G23" i="2"/>
  <c r="G12" i="2"/>
  <c r="G13" i="2"/>
  <c r="G9" i="2"/>
  <c r="C20" i="4"/>
  <c r="D20" i="4"/>
  <c r="D19" i="4"/>
  <c r="E19" i="4"/>
  <c r="E12" i="4"/>
  <c r="E10" i="4"/>
  <c r="D17" i="4"/>
  <c r="C17" i="4"/>
  <c r="D14" i="4"/>
  <c r="D15" i="4"/>
  <c r="E15" i="4"/>
  <c r="D16" i="4"/>
  <c r="E16" i="4"/>
  <c r="D13" i="4"/>
  <c r="C14" i="4"/>
  <c r="C15" i="4"/>
  <c r="C16" i="4"/>
  <c r="C13" i="4"/>
  <c r="D11" i="4"/>
  <c r="D12" i="4"/>
  <c r="D10" i="4"/>
  <c r="G11" i="7"/>
  <c r="G15" i="7"/>
  <c r="G12" i="7"/>
  <c r="E11" i="7"/>
  <c r="E9" i="7"/>
  <c r="D11" i="7"/>
  <c r="D17" i="7" s="1"/>
  <c r="D9" i="7"/>
  <c r="E14" i="7"/>
  <c r="E14" i="4" s="1"/>
  <c r="E12" i="7"/>
  <c r="D28" i="2"/>
  <c r="E26" i="2"/>
  <c r="E10" i="2"/>
  <c r="E14" i="2" s="1"/>
  <c r="E28" i="2" s="1"/>
  <c r="D26" i="2"/>
  <c r="D14" i="2"/>
  <c r="F25" i="2"/>
  <c r="F24" i="2"/>
  <c r="F23" i="2"/>
  <c r="F12" i="2"/>
  <c r="F13" i="2"/>
  <c r="F9" i="2"/>
  <c r="D38" i="3"/>
  <c r="D35" i="3"/>
  <c r="D33" i="3"/>
  <c r="L11" i="4" s="1"/>
  <c r="D21" i="3"/>
  <c r="L10" i="4" s="1"/>
  <c r="D18" i="3"/>
  <c r="L9" i="4" s="1"/>
  <c r="D96" i="5"/>
  <c r="D93" i="5"/>
  <c r="D97" i="5" s="1"/>
  <c r="D80" i="5"/>
  <c r="D77" i="5"/>
  <c r="D81" i="5" s="1"/>
  <c r="D66" i="5"/>
  <c r="D63" i="5"/>
  <c r="D61" i="5"/>
  <c r="D46" i="5"/>
  <c r="D38" i="5"/>
  <c r="D35" i="5"/>
  <c r="D21" i="5"/>
  <c r="D18" i="5"/>
  <c r="D22" i="5" s="1"/>
  <c r="G88" i="8"/>
  <c r="E13" i="7" l="1"/>
  <c r="L17" i="4"/>
  <c r="L20" i="4" s="1"/>
  <c r="D67" i="5"/>
  <c r="D39" i="3"/>
  <c r="D39" i="5"/>
  <c r="D99" i="5" s="1"/>
  <c r="J90" i="8"/>
  <c r="G26" i="8"/>
  <c r="C16" i="7"/>
  <c r="H16" i="7"/>
  <c r="E32" i="8"/>
  <c r="H15" i="4" l="1"/>
  <c r="G16" i="7"/>
  <c r="E13" i="4"/>
  <c r="E17" i="4" s="1"/>
  <c r="E20" i="4" s="1"/>
  <c r="E17" i="7"/>
  <c r="O14" i="2"/>
  <c r="F16" i="7"/>
  <c r="F15" i="4" s="1"/>
  <c r="C20" i="3"/>
  <c r="C15" i="7"/>
  <c r="C14" i="7"/>
  <c r="C12" i="7"/>
  <c r="C10" i="2"/>
  <c r="C13" i="7" s="1"/>
  <c r="G70" i="8" l="1"/>
  <c r="G149" i="8"/>
  <c r="G148" i="8"/>
  <c r="G123" i="8"/>
  <c r="G122" i="8"/>
  <c r="G52" i="8"/>
  <c r="G51" i="8"/>
  <c r="H136" i="8" l="1"/>
  <c r="J136" i="8" s="1"/>
  <c r="H39" i="8"/>
  <c r="J39" i="8" s="1"/>
  <c r="G25" i="8"/>
  <c r="G24" i="8"/>
  <c r="G21" i="8" l="1"/>
  <c r="G20" i="8"/>
  <c r="G72" i="8"/>
  <c r="G99" i="8"/>
  <c r="G97" i="8"/>
  <c r="G84" i="8"/>
  <c r="G82" i="8"/>
  <c r="G75" i="8"/>
  <c r="G74" i="8" s="1"/>
  <c r="H5" i="8" l="1"/>
  <c r="J5" i="8" s="1"/>
  <c r="G71" i="8"/>
  <c r="L14" i="2" l="1"/>
  <c r="H11" i="2" s="1"/>
  <c r="G11" i="2" s="1"/>
  <c r="G157" i="8"/>
  <c r="H95" i="5"/>
  <c r="H94" i="5"/>
  <c r="G62" i="8"/>
  <c r="H37" i="5"/>
  <c r="F37" i="5" s="1"/>
  <c r="H36" i="5"/>
  <c r="F36" i="5" s="1"/>
  <c r="C10" i="3"/>
  <c r="J80" i="8"/>
  <c r="J78" i="8"/>
  <c r="J79" i="8"/>
  <c r="H11" i="5"/>
  <c r="F11" i="5" s="1"/>
  <c r="H87" i="5"/>
  <c r="H20" i="5"/>
  <c r="F20" i="5" s="1"/>
  <c r="H19" i="5"/>
  <c r="F19" i="5" s="1"/>
  <c r="E60" i="8"/>
  <c r="F94" i="5" l="1"/>
  <c r="G94" i="5"/>
  <c r="F95" i="5"/>
  <c r="G95" i="5"/>
  <c r="F87" i="5"/>
  <c r="G87" i="5"/>
  <c r="G10" i="3" s="1"/>
  <c r="H10" i="2"/>
  <c r="F11" i="2"/>
  <c r="G37" i="5"/>
  <c r="G20" i="5"/>
  <c r="H38" i="5"/>
  <c r="H10" i="3"/>
  <c r="F10" i="3" s="1"/>
  <c r="E155" i="8"/>
  <c r="H79" i="5"/>
  <c r="H78" i="5"/>
  <c r="F78" i="5" s="1"/>
  <c r="E129" i="8"/>
  <c r="G79" i="5" l="1"/>
  <c r="F79" i="5"/>
  <c r="F10" i="2"/>
  <c r="G10" i="2"/>
  <c r="H20" i="3"/>
  <c r="G34" i="8"/>
  <c r="G20" i="3" l="1"/>
  <c r="F20" i="3"/>
  <c r="H115" i="8"/>
  <c r="J115" i="8" s="1"/>
  <c r="H12" i="7" l="1"/>
  <c r="H14" i="7"/>
  <c r="G14" i="7" s="1"/>
  <c r="H15" i="7"/>
  <c r="H13" i="7" l="1"/>
  <c r="G13" i="7" s="1"/>
  <c r="J108" i="8"/>
  <c r="H19" i="4"/>
  <c r="G107" i="8"/>
  <c r="G110" i="8" l="1"/>
  <c r="G100" i="8" l="1"/>
  <c r="H58" i="5" s="1"/>
  <c r="F58" i="5" s="1"/>
  <c r="J99" i="8"/>
  <c r="J97" i="8"/>
  <c r="J93" i="8"/>
  <c r="J95" i="8"/>
  <c r="J92" i="8"/>
  <c r="J86" i="8"/>
  <c r="J87" i="8"/>
  <c r="J88" i="8"/>
  <c r="H52" i="5"/>
  <c r="F52" i="5" s="1"/>
  <c r="J82" i="8"/>
  <c r="J77" i="8"/>
  <c r="J72" i="8"/>
  <c r="H11" i="4"/>
  <c r="H9" i="4"/>
  <c r="J75" i="8"/>
  <c r="G119" i="8"/>
  <c r="H74" i="5" s="1"/>
  <c r="F74" i="5" s="1"/>
  <c r="G145" i="8"/>
  <c r="G17" i="8"/>
  <c r="F34" i="3"/>
  <c r="F35" i="3" s="1"/>
  <c r="C34" i="3"/>
  <c r="C35" i="3" s="1"/>
  <c r="H92" i="5"/>
  <c r="F92" i="5" s="1"/>
  <c r="H89" i="5"/>
  <c r="H86" i="5"/>
  <c r="F86" i="5" s="1"/>
  <c r="H85" i="5"/>
  <c r="H76" i="5"/>
  <c r="F76" i="5" s="1"/>
  <c r="H73" i="5"/>
  <c r="H72" i="5"/>
  <c r="F72" i="5" s="1"/>
  <c r="H71" i="5"/>
  <c r="F71" i="5" s="1"/>
  <c r="H65" i="5"/>
  <c r="J65" i="5" s="1"/>
  <c r="H64" i="5"/>
  <c r="J64" i="5" s="1"/>
  <c r="H62" i="5"/>
  <c r="H63" i="5" s="1"/>
  <c r="H60" i="5"/>
  <c r="F60" i="5" s="1"/>
  <c r="H45" i="5"/>
  <c r="F45" i="5" s="1"/>
  <c r="H34" i="5"/>
  <c r="H29" i="5"/>
  <c r="H30" i="5"/>
  <c r="F30" i="5" s="1"/>
  <c r="H28" i="5"/>
  <c r="H27" i="5"/>
  <c r="F27" i="5" s="1"/>
  <c r="H26" i="5"/>
  <c r="F26" i="5" s="1"/>
  <c r="F17" i="5"/>
  <c r="H12" i="5"/>
  <c r="F12" i="5" s="1"/>
  <c r="H13" i="5"/>
  <c r="F13" i="5" s="1"/>
  <c r="H10" i="5"/>
  <c r="F10" i="5" s="1"/>
  <c r="E9" i="3" s="1"/>
  <c r="E18" i="3" s="1"/>
  <c r="G50" i="8"/>
  <c r="H32" i="5" s="1"/>
  <c r="G48" i="8"/>
  <c r="G54" i="8"/>
  <c r="H33" i="5" s="1"/>
  <c r="F33" i="5" s="1"/>
  <c r="G19" i="8"/>
  <c r="H9" i="5"/>
  <c r="F9" i="5" s="1"/>
  <c r="G131" i="8"/>
  <c r="G106" i="8"/>
  <c r="D70" i="8"/>
  <c r="C70" i="8"/>
  <c r="E70" i="8"/>
  <c r="F63" i="5"/>
  <c r="C63" i="5"/>
  <c r="M9" i="4" l="1"/>
  <c r="M17" i="4" s="1"/>
  <c r="M20" i="4" s="1"/>
  <c r="E39" i="3"/>
  <c r="F34" i="5"/>
  <c r="H17" i="3"/>
  <c r="F17" i="3" s="1"/>
  <c r="F89" i="5"/>
  <c r="G89" i="5"/>
  <c r="F85" i="5"/>
  <c r="G85" i="5"/>
  <c r="G64" i="5"/>
  <c r="F64" i="5"/>
  <c r="G73" i="5"/>
  <c r="F73" i="5"/>
  <c r="F11" i="3"/>
  <c r="F28" i="5"/>
  <c r="G65" i="5"/>
  <c r="F65" i="5"/>
  <c r="G29" i="5"/>
  <c r="F29" i="5"/>
  <c r="G32" i="5"/>
  <c r="F32" i="5"/>
  <c r="G29" i="8"/>
  <c r="G35" i="8" s="1"/>
  <c r="H46" i="5"/>
  <c r="G45" i="5"/>
  <c r="F21" i="5"/>
  <c r="H14" i="5"/>
  <c r="F14" i="5" s="1"/>
  <c r="H31" i="5"/>
  <c r="G57" i="8"/>
  <c r="E59" i="8" s="1"/>
  <c r="H15" i="5"/>
  <c r="F15" i="5" s="1"/>
  <c r="H8" i="3"/>
  <c r="F8" i="3" s="1"/>
  <c r="H90" i="5"/>
  <c r="F90" i="5" s="1"/>
  <c r="J84" i="8"/>
  <c r="G83" i="8"/>
  <c r="H50" i="5" s="1"/>
  <c r="G147" i="8"/>
  <c r="G89" i="8"/>
  <c r="H55" i="5" s="1"/>
  <c r="G96" i="8"/>
  <c r="H57" i="5" s="1"/>
  <c r="F57" i="5" s="1"/>
  <c r="G91" i="8"/>
  <c r="H54" i="5"/>
  <c r="F54" i="5" s="1"/>
  <c r="H53" i="5"/>
  <c r="F53" i="5" s="1"/>
  <c r="G81" i="8"/>
  <c r="H49" i="5" s="1"/>
  <c r="H48" i="5"/>
  <c r="H47" i="5"/>
  <c r="G85" i="8"/>
  <c r="H51" i="5" s="1"/>
  <c r="F51" i="5" s="1"/>
  <c r="H16" i="5"/>
  <c r="F16" i="5" s="1"/>
  <c r="J73" i="8"/>
  <c r="J76" i="8"/>
  <c r="H13" i="3"/>
  <c r="F13" i="3" s="1"/>
  <c r="H66" i="5"/>
  <c r="J66" i="5" s="1"/>
  <c r="H9" i="3"/>
  <c r="F9" i="3" s="1"/>
  <c r="H12" i="3"/>
  <c r="F12" i="3" s="1"/>
  <c r="H34" i="3"/>
  <c r="G121" i="8"/>
  <c r="G126" i="8" s="1"/>
  <c r="E128" i="8" s="1"/>
  <c r="C61" i="5"/>
  <c r="F14" i="7"/>
  <c r="F50" i="5" l="1"/>
  <c r="J50" i="5"/>
  <c r="F48" i="5"/>
  <c r="J48" i="5"/>
  <c r="F49" i="5"/>
  <c r="J49" i="5"/>
  <c r="F47" i="5"/>
  <c r="J47" i="5"/>
  <c r="F55" i="5"/>
  <c r="J55" i="5"/>
  <c r="G152" i="8"/>
  <c r="G158" i="8" s="1"/>
  <c r="H35" i="5"/>
  <c r="F31" i="5"/>
  <c r="F35" i="5" s="1"/>
  <c r="H19" i="3"/>
  <c r="F19" i="3" s="1"/>
  <c r="H14" i="3"/>
  <c r="F14" i="3" s="1"/>
  <c r="H18" i="5"/>
  <c r="H56" i="5"/>
  <c r="G104" i="8"/>
  <c r="G111" i="8" s="1"/>
  <c r="E154" i="8"/>
  <c r="H91" i="5"/>
  <c r="H16" i="3"/>
  <c r="F16" i="3" s="1"/>
  <c r="F18" i="5"/>
  <c r="F22" i="5" s="1"/>
  <c r="G63" i="8"/>
  <c r="E31" i="8"/>
  <c r="J102" i="8"/>
  <c r="H59" i="5" s="1"/>
  <c r="H35" i="3"/>
  <c r="P18" i="4"/>
  <c r="G132" i="8"/>
  <c r="H75" i="5"/>
  <c r="F75" i="5" s="1"/>
  <c r="F59" i="5" l="1"/>
  <c r="J59" i="5"/>
  <c r="F56" i="5"/>
  <c r="J56" i="5"/>
  <c r="F91" i="5"/>
  <c r="G91" i="5"/>
  <c r="G160" i="8"/>
  <c r="H61" i="5"/>
  <c r="J61" i="5" s="1"/>
  <c r="H77" i="5"/>
  <c r="H15" i="3"/>
  <c r="F15" i="3" s="1"/>
  <c r="H67" i="5" l="1"/>
  <c r="J67" i="5" s="1"/>
  <c r="G61" i="5"/>
  <c r="H18" i="3"/>
  <c r="P9" i="4" s="1"/>
  <c r="O9" i="4" s="1"/>
  <c r="F15" i="7"/>
  <c r="F14" i="4" s="1"/>
  <c r="F12" i="7"/>
  <c r="F19" i="4" s="1"/>
  <c r="C19" i="4"/>
  <c r="C12" i="4"/>
  <c r="F10" i="7"/>
  <c r="F11" i="4" s="1"/>
  <c r="C11" i="4"/>
  <c r="C10" i="4"/>
  <c r="C9" i="4"/>
  <c r="C26" i="2"/>
  <c r="H19" i="2"/>
  <c r="C19" i="2"/>
  <c r="F8" i="7"/>
  <c r="F9" i="4" s="1"/>
  <c r="C17" i="3"/>
  <c r="C16" i="3"/>
  <c r="C37" i="3"/>
  <c r="C36" i="3"/>
  <c r="C28" i="3"/>
  <c r="C29" i="3"/>
  <c r="C30" i="3"/>
  <c r="C31" i="3"/>
  <c r="C32" i="3"/>
  <c r="C27" i="3"/>
  <c r="C24" i="3"/>
  <c r="C25" i="3"/>
  <c r="C26" i="3"/>
  <c r="C23" i="3"/>
  <c r="C22" i="3"/>
  <c r="C19" i="3"/>
  <c r="C21" i="3" s="1"/>
  <c r="K10" i="4" s="1"/>
  <c r="C15" i="3"/>
  <c r="C14" i="3"/>
  <c r="C13" i="3"/>
  <c r="C12" i="3"/>
  <c r="C11" i="3"/>
  <c r="C9" i="3"/>
  <c r="C8" i="3"/>
  <c r="F96" i="5"/>
  <c r="F93" i="5" l="1"/>
  <c r="F97" i="5" s="1"/>
  <c r="F19" i="2"/>
  <c r="F18" i="3"/>
  <c r="C18" i="3"/>
  <c r="K9" i="4" s="1"/>
  <c r="C33" i="3"/>
  <c r="K11" i="4" s="1"/>
  <c r="C38" i="3"/>
  <c r="K19" i="4" s="1"/>
  <c r="F13" i="4"/>
  <c r="G78" i="5"/>
  <c r="G75" i="5"/>
  <c r="G71" i="5"/>
  <c r="G48" i="5"/>
  <c r="G49" i="5"/>
  <c r="G50" i="5"/>
  <c r="G51" i="5"/>
  <c r="G52" i="5"/>
  <c r="G53" i="5"/>
  <c r="G54" i="5"/>
  <c r="G55" i="5"/>
  <c r="G56" i="5"/>
  <c r="G57" i="5"/>
  <c r="G58" i="5"/>
  <c r="G59" i="5"/>
  <c r="G47" i="5"/>
  <c r="F46" i="5"/>
  <c r="C46" i="5"/>
  <c r="G46" i="5" s="1"/>
  <c r="G36" i="5"/>
  <c r="G19" i="5"/>
  <c r="F38" i="5"/>
  <c r="C35" i="5"/>
  <c r="G26" i="5"/>
  <c r="C21" i="5"/>
  <c r="C18" i="5"/>
  <c r="G9" i="5"/>
  <c r="G13" i="5"/>
  <c r="G15" i="5"/>
  <c r="F80" i="5" l="1"/>
  <c r="F77" i="5"/>
  <c r="F39" i="5"/>
  <c r="F66" i="5"/>
  <c r="F61" i="5"/>
  <c r="C22" i="5"/>
  <c r="K17" i="4"/>
  <c r="K20" i="4" s="1"/>
  <c r="F67" i="5" l="1"/>
  <c r="F81" i="5"/>
  <c r="G18" i="5"/>
  <c r="F99" i="5" l="1"/>
  <c r="G35" i="5"/>
  <c r="H22" i="3" l="1"/>
  <c r="F22" i="3" s="1"/>
  <c r="H23" i="3"/>
  <c r="F23" i="3" s="1"/>
  <c r="H24" i="3"/>
  <c r="F24" i="3" s="1"/>
  <c r="H25" i="3"/>
  <c r="F25" i="3" s="1"/>
  <c r="G24" i="3" l="1"/>
  <c r="G25" i="3"/>
  <c r="G23" i="3"/>
  <c r="G22" i="3"/>
  <c r="G8" i="3" l="1"/>
  <c r="H14" i="4"/>
  <c r="H11" i="7"/>
  <c r="H93" i="5"/>
  <c r="J93" i="5" l="1"/>
  <c r="G93" i="5"/>
  <c r="H12" i="4"/>
  <c r="G15" i="3"/>
  <c r="C96" i="5" l="1"/>
  <c r="C93" i="5"/>
  <c r="C80" i="5"/>
  <c r="C77" i="5"/>
  <c r="C66" i="5"/>
  <c r="C67" i="5" s="1"/>
  <c r="C38" i="5"/>
  <c r="C39" i="5" s="1"/>
  <c r="C39" i="3"/>
  <c r="C14" i="2"/>
  <c r="C17" i="7"/>
  <c r="G67" i="5" l="1"/>
  <c r="G66" i="5"/>
  <c r="C81" i="5"/>
  <c r="C99" i="5" s="1"/>
  <c r="G77" i="5"/>
  <c r="C28" i="2"/>
  <c r="C97" i="5"/>
  <c r="H9" i="7" l="1"/>
  <c r="G9" i="7" s="1"/>
  <c r="H37" i="3"/>
  <c r="H36" i="3"/>
  <c r="H32" i="3"/>
  <c r="F32" i="3" s="1"/>
  <c r="H31" i="3"/>
  <c r="F31" i="3" s="1"/>
  <c r="H30" i="3"/>
  <c r="F30" i="3" s="1"/>
  <c r="H29" i="3"/>
  <c r="F29" i="3" s="1"/>
  <c r="H28" i="3"/>
  <c r="F28" i="3" s="1"/>
  <c r="H27" i="3"/>
  <c r="F27" i="3" s="1"/>
  <c r="H26" i="3"/>
  <c r="F26" i="3" s="1"/>
  <c r="G13" i="3"/>
  <c r="G36" i="3" l="1"/>
  <c r="F36" i="3"/>
  <c r="G37" i="3"/>
  <c r="F37" i="3"/>
  <c r="H10" i="4"/>
  <c r="H17" i="7"/>
  <c r="G17" i="7" s="1"/>
  <c r="H13" i="4"/>
  <c r="G26" i="3"/>
  <c r="G30" i="3"/>
  <c r="G27" i="3"/>
  <c r="G31" i="3"/>
  <c r="G28" i="3"/>
  <c r="G29" i="3"/>
  <c r="H38" i="3"/>
  <c r="H33" i="3"/>
  <c r="F38" i="3" l="1"/>
  <c r="N19" i="4" s="1"/>
  <c r="H17" i="4"/>
  <c r="P11" i="4"/>
  <c r="O11" i="4" s="1"/>
  <c r="G33" i="3"/>
  <c r="P19" i="4"/>
  <c r="O19" i="4" s="1"/>
  <c r="G38" i="3"/>
  <c r="F33" i="3"/>
  <c r="H14" i="2"/>
  <c r="F13" i="7"/>
  <c r="G18" i="3"/>
  <c r="H21" i="3"/>
  <c r="G21" i="3" s="1"/>
  <c r="G19" i="3"/>
  <c r="H96" i="5"/>
  <c r="H80" i="5"/>
  <c r="H21" i="5"/>
  <c r="G80" i="5" l="1"/>
  <c r="G21" i="5"/>
  <c r="G96" i="5"/>
  <c r="F14" i="2"/>
  <c r="G14" i="2"/>
  <c r="N11" i="4"/>
  <c r="H39" i="3"/>
  <c r="G39" i="3" s="1"/>
  <c r="P10" i="4"/>
  <c r="O10" i="4" s="1"/>
  <c r="H97" i="5"/>
  <c r="G38" i="5"/>
  <c r="H39" i="5"/>
  <c r="F21" i="3"/>
  <c r="F39" i="3" s="1"/>
  <c r="N9" i="4"/>
  <c r="H81" i="5"/>
  <c r="H22" i="5"/>
  <c r="G97" i="5" l="1"/>
  <c r="G39" i="5"/>
  <c r="G81" i="5"/>
  <c r="H99" i="5"/>
  <c r="N10" i="4"/>
  <c r="N17" i="4" s="1"/>
  <c r="N20" i="4" s="1"/>
  <c r="G22" i="5"/>
  <c r="G19" i="4"/>
  <c r="G13" i="4"/>
  <c r="H26" i="2"/>
  <c r="G26" i="2" s="1"/>
  <c r="F11" i="7"/>
  <c r="F12" i="4" s="1"/>
  <c r="G99" i="5" l="1"/>
  <c r="J99" i="5"/>
  <c r="H28" i="2"/>
  <c r="F26" i="2"/>
  <c r="F9" i="7"/>
  <c r="H31" i="2" l="1"/>
  <c r="G28" i="2"/>
  <c r="F10" i="4"/>
  <c r="F17" i="7"/>
  <c r="G162" i="8"/>
  <c r="F28" i="2"/>
  <c r="F17" i="4" l="1"/>
  <c r="F20" i="4" s="1"/>
  <c r="P17" i="4"/>
  <c r="O17" i="4" s="1"/>
  <c r="P20" i="4" l="1"/>
  <c r="O20" i="4" s="1"/>
  <c r="G17" i="4" l="1"/>
  <c r="H20" i="4" l="1"/>
  <c r="G20" i="4" s="1"/>
</calcChain>
</file>

<file path=xl/sharedStrings.xml><?xml version="1.0" encoding="utf-8"?>
<sst xmlns="http://schemas.openxmlformats.org/spreadsheetml/2006/main" count="649" uniqueCount="193">
  <si>
    <t>Főkönyvi szám</t>
  </si>
  <si>
    <t>Kiadások összesen</t>
  </si>
  <si>
    <t>0981311</t>
  </si>
  <si>
    <t>098161</t>
  </si>
  <si>
    <t>05110111</t>
  </si>
  <si>
    <t>0511091</t>
  </si>
  <si>
    <t>0511101</t>
  </si>
  <si>
    <t>0511131</t>
  </si>
  <si>
    <t>051221</t>
  </si>
  <si>
    <t>05211</t>
  </si>
  <si>
    <t>05261</t>
  </si>
  <si>
    <t>053111</t>
  </si>
  <si>
    <t>053121</t>
  </si>
  <si>
    <t>0532211</t>
  </si>
  <si>
    <t>053371</t>
  </si>
  <si>
    <t>053411</t>
  </si>
  <si>
    <t>053511</t>
  </si>
  <si>
    <t>053551</t>
  </si>
  <si>
    <t>Főkönyvi szám neve</t>
  </si>
  <si>
    <t>Előző év költségvetési maradványának igénybevétele</t>
  </si>
  <si>
    <t>Központi, irányító szervi támogatás</t>
  </si>
  <si>
    <t>Köztisztviselők,közalkalmazottak bére</t>
  </si>
  <si>
    <t>Közlekedési költségtérítés</t>
  </si>
  <si>
    <t>Egyéb költségtérítések</t>
  </si>
  <si>
    <t>Foglalkoztatottak egyéb személyi juttatásai</t>
  </si>
  <si>
    <t>Munkavégzésre irányuló egyéb jogviszonyban nem saját foglalkoztatottnak fizetett juttatások</t>
  </si>
  <si>
    <t>Szociális hozzájárulási adó</t>
  </si>
  <si>
    <t>Más járulék fizetési kötelezettség</t>
  </si>
  <si>
    <t>Szakmai anyagok beszerzése</t>
  </si>
  <si>
    <t>Üzemeltetési anyagok beszerzése</t>
  </si>
  <si>
    <t>Egyéb szolgáltatások</t>
  </si>
  <si>
    <t>Kiküldetések kiadásai</t>
  </si>
  <si>
    <t>Működési célú előzetesen felszámított általános forgalmi adó</t>
  </si>
  <si>
    <t>Egyéb dologi kiadások</t>
  </si>
  <si>
    <t>Bevételek</t>
  </si>
  <si>
    <t>Személyi juttatások</t>
  </si>
  <si>
    <t>Munkaadót terhelő járulékok</t>
  </si>
  <si>
    <t>Dologi kiadások</t>
  </si>
  <si>
    <t>Kiadások</t>
  </si>
  <si>
    <t>Főkönyvi szám név</t>
  </si>
  <si>
    <t>Kiadás összesen:</t>
  </si>
  <si>
    <t>Kiadások kormányati funkciók (COFOG) szerinti bontásban</t>
  </si>
  <si>
    <t>Intézmény fin.(állami tám.)</t>
  </si>
  <si>
    <t>Munkaadót terh. befizetések</t>
  </si>
  <si>
    <t>Tárgyévi működési kiadások</t>
  </si>
  <si>
    <t>Pénzmaradvány</t>
  </si>
  <si>
    <t>Mindösszesen</t>
  </si>
  <si>
    <t>Mérleg</t>
  </si>
  <si>
    <t>adatok: Ft-ban</t>
  </si>
  <si>
    <t xml:space="preserve">Összes intézményi kiadás: </t>
  </si>
  <si>
    <t>adatok: ezer Ft-ban</t>
  </si>
  <si>
    <t>Megnevezés</t>
  </si>
  <si>
    <t>052</t>
  </si>
  <si>
    <t>053</t>
  </si>
  <si>
    <t>09813</t>
  </si>
  <si>
    <t>09816</t>
  </si>
  <si>
    <t>-ebből állami normatív támogatás</t>
  </si>
  <si>
    <t>%</t>
  </si>
  <si>
    <t>Eredeti EI</t>
  </si>
  <si>
    <t>051</t>
  </si>
  <si>
    <t>Egyéb dologi kiadások - kerekítési különbözet</t>
  </si>
  <si>
    <t>09411</t>
  </si>
  <si>
    <t xml:space="preserve">Egyéb működési bevételek </t>
  </si>
  <si>
    <t>Összesen:</t>
  </si>
  <si>
    <t>Bevételek összesen:</t>
  </si>
  <si>
    <t>Egyéb működési bevételek</t>
  </si>
  <si>
    <t>0511071</t>
  </si>
  <si>
    <t>Béren kívüli juttatások</t>
  </si>
  <si>
    <t>Munkaadót terhelő járulékok:</t>
  </si>
  <si>
    <t>053211</t>
  </si>
  <si>
    <t>Informatikai szolgáltatások igénybevétele</t>
  </si>
  <si>
    <t xml:space="preserve">Egyéb kommunikációs szolgáltatások </t>
  </si>
  <si>
    <t>053221</t>
  </si>
  <si>
    <t>09161</t>
  </si>
  <si>
    <t>Tárgyévi működési bevételek</t>
  </si>
  <si>
    <t>053341</t>
  </si>
  <si>
    <t>Karbantartás, kisjavítási szolgáltatások</t>
  </si>
  <si>
    <t>053311</t>
  </si>
  <si>
    <t>Villamos energia</t>
  </si>
  <si>
    <t>Gázdíj</t>
  </si>
  <si>
    <t>0533121</t>
  </si>
  <si>
    <t>0533111</t>
  </si>
  <si>
    <t>0533131</t>
  </si>
  <si>
    <t>Víz-, és csatornadíj</t>
  </si>
  <si>
    <t>05641</t>
  </si>
  <si>
    <t>Egyéb tárgyi eszközök beszerzése</t>
  </si>
  <si>
    <t>05671</t>
  </si>
  <si>
    <t xml:space="preserve">Beruházási kiadások </t>
  </si>
  <si>
    <t>Beruházási célú, előzetesen felszámított általános forgalmi adó</t>
  </si>
  <si>
    <t>018030 - Támogatási célú finanszírozási műveletek</t>
  </si>
  <si>
    <t>Bevételek kormányati funkciók (COFOG) szerinti bontásban</t>
  </si>
  <si>
    <t>-ebből fenntartói támogatás (Piliscsév Község Önk.)</t>
  </si>
  <si>
    <t xml:space="preserve">Egyéb működési célú támogatások bevételei államháztartáson belülről </t>
  </si>
  <si>
    <t>094041</t>
  </si>
  <si>
    <t>Tulajdonosi bevételek</t>
  </si>
  <si>
    <t xml:space="preserve">Közüzemi díjak </t>
  </si>
  <si>
    <t>Karbantartás, kisjavítás szolgáltatások</t>
  </si>
  <si>
    <t>Beruházások, fejlesztések</t>
  </si>
  <si>
    <t>Bevételek összesen</t>
  </si>
  <si>
    <t>09404</t>
  </si>
  <si>
    <t>056</t>
  </si>
  <si>
    <t>Beruházások</t>
  </si>
  <si>
    <t>091110 - Óvodai nevelés, ellátás szakmai feladatai</t>
  </si>
  <si>
    <t>091130 - Nemzetiségi óvodai nevelés, ellátás szakmai feladatai</t>
  </si>
  <si>
    <t>Jubileumi jutalom</t>
  </si>
  <si>
    <t>0511061</t>
  </si>
  <si>
    <t>091140 - Óvodai nevelés, ellátás működtetési feladatai</t>
  </si>
  <si>
    <t>053361</t>
  </si>
  <si>
    <t xml:space="preserve">Egyéb szakmai szolgáltatások </t>
  </si>
  <si>
    <t>096015 - Gyermekétkeztetés köznevelési intézményben</t>
  </si>
  <si>
    <t>Egyéb szakmai szolgáltatások</t>
  </si>
  <si>
    <t>104031 - Gyermekek bölcsődében és mini bölcsődében történő ellátása</t>
  </si>
  <si>
    <t>051103</t>
  </si>
  <si>
    <t>Céljuttatás, projektprémium</t>
  </si>
  <si>
    <t>0511031</t>
  </si>
  <si>
    <t xml:space="preserve">Céljuttatás, projektrprémium </t>
  </si>
  <si>
    <t>Változás</t>
  </si>
  <si>
    <t>4 fő EP hj.; betegszabadság</t>
  </si>
  <si>
    <t>4 fő bankköltség hj., munkaruha 30000 Ft/fő/év</t>
  </si>
  <si>
    <t>051231</t>
  </si>
  <si>
    <t>Egyéb külső személyi juttatások teljesítése</t>
  </si>
  <si>
    <t>Közüzemii díjak teljesítése</t>
  </si>
  <si>
    <t>Munkavégzésre irányuló egyéb jogviszonyban nem saját foglalkoztatott.</t>
  </si>
  <si>
    <t>Egyéb külső személyi juttatások</t>
  </si>
  <si>
    <t>091110 - Óvoda nevelés, ellátás szakmai feladatai</t>
  </si>
  <si>
    <t>Elkülönített állami pénzalaptól működési célú támogatások bevételei</t>
  </si>
  <si>
    <t>094101</t>
  </si>
  <si>
    <t>Biztosítók által fizetett kártérítés teljesítése</t>
  </si>
  <si>
    <t>09410</t>
  </si>
  <si>
    <t>Biztosítók által fizetett kártérítés</t>
  </si>
  <si>
    <t>0916</t>
  </si>
  <si>
    <t>Működési célú támogatások</t>
  </si>
  <si>
    <t>Bölcsőde:</t>
  </si>
  <si>
    <t>Köznevelés:</t>
  </si>
  <si>
    <t>Tartalékok kiadásai</t>
  </si>
  <si>
    <t>055131</t>
  </si>
  <si>
    <t>Tartalékok</t>
  </si>
  <si>
    <t>bölcsödei normatíva:</t>
  </si>
  <si>
    <t>Hertlik-Zsalezsák Anna</t>
  </si>
  <si>
    <t>EP</t>
  </si>
  <si>
    <t>Betegszabadság</t>
  </si>
  <si>
    <t>Fenyő Imréné</t>
  </si>
  <si>
    <t>Flórián Krisztina Adrienn</t>
  </si>
  <si>
    <t>Vojczek Iván Gáborné</t>
  </si>
  <si>
    <t>Bankköltség hozzájárulás</t>
  </si>
  <si>
    <t>Köznevelési normatíva:</t>
  </si>
  <si>
    <t>munkaruha</t>
  </si>
  <si>
    <t>tisztítószer</t>
  </si>
  <si>
    <t>irodaszer</t>
  </si>
  <si>
    <t>055</t>
  </si>
  <si>
    <t>Ludové Noviny</t>
  </si>
  <si>
    <t>egyéb üzemeltetési anyag</t>
  </si>
  <si>
    <t>egyéb szakmai anyag</t>
  </si>
  <si>
    <t>Mobilinternet</t>
  </si>
  <si>
    <t>Telefonszámla</t>
  </si>
  <si>
    <t>EÜ alkalmassági</t>
  </si>
  <si>
    <t>Üzemorvos</t>
  </si>
  <si>
    <t>Hulladékgazdálkodás</t>
  </si>
  <si>
    <t>bankköltség</t>
  </si>
  <si>
    <t>ÁHK</t>
  </si>
  <si>
    <t>kötelező 2 %</t>
  </si>
  <si>
    <t>Piliscsévi "Aranykapu" Óvoda-Bölcsőde</t>
  </si>
  <si>
    <t>05260</t>
  </si>
  <si>
    <t>0511041</t>
  </si>
  <si>
    <t>Készenléti, ügyeleti, helyettesítési díj, túlóra, túlszolgálat teljesítése</t>
  </si>
  <si>
    <t>vízszűrőbetét</t>
  </si>
  <si>
    <t>tetőszigetelés</t>
  </si>
  <si>
    <t>SNI fejlesztés</t>
  </si>
  <si>
    <t>Kovácsné Hertlik Éva</t>
  </si>
  <si>
    <t>Továbbképzés</t>
  </si>
  <si>
    <t>Mácsai Renáta</t>
  </si>
  <si>
    <t>Tar Zoltánné</t>
  </si>
  <si>
    <t>I. sz módosítás</t>
  </si>
  <si>
    <t>-ebből 2023. évi bérkiegészítés</t>
  </si>
  <si>
    <t>bérkieg bölcsi</t>
  </si>
  <si>
    <t>bérkieg ovi</t>
  </si>
  <si>
    <t>-ebből 2023. évi bérintézkedés</t>
  </si>
  <si>
    <t>2023. évi II. számú előirányzat módosítás</t>
  </si>
  <si>
    <t>II. sz módosítás</t>
  </si>
  <si>
    <t>2023. évi II. sz előirányzat módosítás</t>
  </si>
  <si>
    <t>Teljesülés</t>
  </si>
  <si>
    <t>Nunkovics-Kovács Luca</t>
  </si>
  <si>
    <t>Quintzné Vojczek Orsolya</t>
  </si>
  <si>
    <t>Valasek-Szivek Anna</t>
  </si>
  <si>
    <t xml:space="preserve">BARTOLEN ISTVÁNNÉ </t>
  </si>
  <si>
    <t>JUHÁSZNÉ SOMOGYI ÉVA ANIKÓ</t>
  </si>
  <si>
    <t xml:space="preserve">TEBERI ÁGNES </t>
  </si>
  <si>
    <t xml:space="preserve">VOGYERACZKI MÁRIA </t>
  </si>
  <si>
    <t xml:space="preserve">MÁCSAI ANDRÁSNÉ </t>
  </si>
  <si>
    <t>MIHOVNÉ BOR ILONA</t>
  </si>
  <si>
    <t xml:space="preserve">MUDRA MAGDOLNA </t>
  </si>
  <si>
    <t xml:space="preserve">WIPPELHAUSER ADÉL </t>
  </si>
  <si>
    <t>Teljesítés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</si>
</sst>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t_-;\-* #,##0.00\ _F_t_-;_-* &quot;-&quot;??\ _F_t_-;_-@_-"/>
    <numFmt numFmtId="165" formatCode="0.0%"/>
  </numFmts>
  <fonts count="29" x14ac:knownFonts="1">
    <font>
      <sz val="10"/>
      <name val="Arial"/>
    </font>
    <font>
      <sz val="9"/>
      <name val="Times New Roman"/>
      <family val="1"/>
      <charset val="238"/>
    </font>
    <font>
      <b/>
      <sz val="10"/>
      <name val="Arial CE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Arial"/>
      <family val="2"/>
      <charset val="238"/>
    </font>
    <font>
      <b/>
      <sz val="7"/>
      <color indexed="8"/>
      <name val="Verdana"/>
      <family val="2"/>
      <charset val="238"/>
    </font>
    <font>
      <sz val="7"/>
      <color indexed="8"/>
      <name val="Verdana"/>
      <family val="2"/>
      <charset val="238"/>
    </font>
    <font>
      <sz val="10"/>
      <name val="Arial"/>
      <family val="2"/>
      <charset val="238"/>
    </font>
    <font>
      <b/>
      <sz val="7"/>
      <color indexed="8"/>
      <name val="Verdana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color rgb="FFFF0000"/>
      <name val="Times New Roman"/>
      <family val="1"/>
      <charset val="238"/>
    </font>
    <font>
      <b/>
      <i/>
      <sz val="7"/>
      <color indexed="8"/>
      <name val="Verdana"/>
      <family val="2"/>
      <charset val="238"/>
    </font>
    <font>
      <b/>
      <sz val="10"/>
      <name val="Verdana"/>
      <family val="2"/>
      <charset val="238"/>
    </font>
    <font>
      <b/>
      <sz val="7"/>
      <name val="Verdana"/>
      <family val="2"/>
      <charset val="238"/>
    </font>
    <font>
      <sz val="7"/>
      <name val="Verdana"/>
      <family val="2"/>
      <charset val="238"/>
    </font>
    <font>
      <i/>
      <sz val="7"/>
      <name val="Verdana"/>
      <family val="2"/>
      <charset val="238"/>
    </font>
    <font>
      <b/>
      <sz val="8"/>
      <name val="Verdana"/>
      <family val="2"/>
      <charset val="238"/>
    </font>
    <font>
      <sz val="8"/>
      <name val="Verdana"/>
      <family val="2"/>
      <charset val="238"/>
    </font>
    <font>
      <b/>
      <i/>
      <sz val="8"/>
      <name val="Verdana"/>
      <family val="2"/>
      <charset val="238"/>
    </font>
    <font>
      <i/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b/>
      <sz val="8"/>
      <color indexed="8"/>
      <name val="Verdana"/>
      <family val="2"/>
      <charset val="238"/>
    </font>
    <font>
      <sz val="8"/>
      <name val="Arial"/>
      <family val="2"/>
      <charset val="238"/>
    </font>
    <font>
      <sz val="7"/>
      <color rgb="FF333333"/>
      <name val="Verdana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63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0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9" fillId="0" borderId="0" quotePrefix="1" applyFont="0" applyFill="0" applyBorder="0" applyAlignment="0">
      <protection locked="0"/>
    </xf>
    <xf numFmtId="9" fontId="9" fillId="0" borderId="0" quotePrefix="1" applyFont="0" applyFill="0" applyBorder="0" applyAlignment="0">
      <protection locked="0"/>
    </xf>
  </cellStyleXfs>
  <cellXfs count="536">
    <xf numFmtId="0" fontId="0" fillId="0" borderId="0" xfId="0"/>
    <xf numFmtId="0" fontId="8" fillId="0" borderId="11" xfId="0" applyFont="1" applyBorder="1" applyAlignment="1" applyProtection="1">
      <alignment vertical="center" wrapText="1" readingOrder="1"/>
      <protection locked="0"/>
    </xf>
    <xf numFmtId="0" fontId="8" fillId="0" borderId="5" xfId="0" applyFont="1" applyBorder="1" applyAlignment="1" applyProtection="1">
      <alignment vertical="center" wrapText="1" readingOrder="1"/>
      <protection locked="0"/>
    </xf>
    <xf numFmtId="0" fontId="11" fillId="8" borderId="0" xfId="0" applyFont="1" applyFill="1"/>
    <xf numFmtId="0" fontId="2" fillId="0" borderId="0" xfId="0" applyFont="1"/>
    <xf numFmtId="0" fontId="8" fillId="0" borderId="3" xfId="0" applyFont="1" applyBorder="1" applyAlignment="1" applyProtection="1">
      <alignment vertical="center" wrapText="1" readingOrder="1"/>
      <protection locked="0"/>
    </xf>
    <xf numFmtId="0" fontId="12" fillId="0" borderId="0" xfId="0" applyFont="1" applyAlignment="1">
      <alignment horizontal="right"/>
    </xf>
    <xf numFmtId="3" fontId="8" fillId="0" borderId="2" xfId="0" applyNumberFormat="1" applyFont="1" applyBorder="1" applyAlignment="1" applyProtection="1">
      <alignment vertical="center" wrapText="1" readingOrder="1"/>
      <protection locked="0"/>
    </xf>
    <xf numFmtId="3" fontId="8" fillId="0" borderId="15" xfId="0" applyNumberFormat="1" applyFont="1" applyBorder="1" applyAlignment="1" applyProtection="1">
      <alignment vertical="center" wrapText="1" readingOrder="1"/>
      <protection locked="0"/>
    </xf>
    <xf numFmtId="3" fontId="8" fillId="0" borderId="20" xfId="0" applyNumberFormat="1" applyFont="1" applyBorder="1" applyAlignment="1" applyProtection="1">
      <alignment vertical="center" wrapText="1" readingOrder="1"/>
      <protection locked="0"/>
    </xf>
    <xf numFmtId="3" fontId="8" fillId="0" borderId="16" xfId="0" applyNumberFormat="1" applyFont="1" applyBorder="1" applyAlignment="1" applyProtection="1">
      <alignment vertical="center" wrapText="1" readingOrder="1"/>
      <protection locked="0"/>
    </xf>
    <xf numFmtId="3" fontId="1" fillId="3" borderId="0" xfId="0" applyNumberFormat="1" applyFont="1" applyFill="1" applyAlignment="1">
      <alignment horizontal="right" vertical="center" wrapText="1" shrinkToFit="1"/>
    </xf>
    <xf numFmtId="3" fontId="13" fillId="0" borderId="0" xfId="0" applyNumberFormat="1" applyFont="1"/>
    <xf numFmtId="0" fontId="7" fillId="12" borderId="15" xfId="0" applyFont="1" applyFill="1" applyBorder="1" applyAlignment="1" applyProtection="1">
      <alignment horizontal="center" vertical="center" wrapText="1" readingOrder="1"/>
      <protection locked="0"/>
    </xf>
    <xf numFmtId="0" fontId="7" fillId="12" borderId="19" xfId="0" applyFont="1" applyFill="1" applyBorder="1" applyAlignment="1" applyProtection="1">
      <alignment horizontal="center" vertical="center" wrapText="1" readingOrder="1"/>
      <protection locked="0"/>
    </xf>
    <xf numFmtId="0" fontId="3" fillId="12" borderId="26" xfId="0" applyFont="1" applyFill="1" applyBorder="1"/>
    <xf numFmtId="0" fontId="3" fillId="12" borderId="27" xfId="0" applyFont="1" applyFill="1" applyBorder="1"/>
    <xf numFmtId="3" fontId="3" fillId="12" borderId="25" xfId="0" applyNumberFormat="1" applyFont="1" applyFill="1" applyBorder="1"/>
    <xf numFmtId="0" fontId="0" fillId="0" borderId="32" xfId="0" applyBorder="1"/>
    <xf numFmtId="3" fontId="0" fillId="0" borderId="0" xfId="0" applyNumberFormat="1"/>
    <xf numFmtId="3" fontId="0" fillId="0" borderId="33" xfId="0" applyNumberFormat="1" applyBorder="1"/>
    <xf numFmtId="49" fontId="8" fillId="0" borderId="3" xfId="0" applyNumberFormat="1" applyFont="1" applyBorder="1" applyAlignment="1" applyProtection="1">
      <alignment vertical="center" wrapText="1" readingOrder="1"/>
      <protection locked="0"/>
    </xf>
    <xf numFmtId="0" fontId="8" fillId="0" borderId="22" xfId="0" applyFont="1" applyBorder="1" applyAlignment="1" applyProtection="1">
      <alignment vertical="center" wrapText="1" readingOrder="1"/>
      <protection locked="0"/>
    </xf>
    <xf numFmtId="3" fontId="10" fillId="12" borderId="8" xfId="0" applyNumberFormat="1" applyFont="1" applyFill="1" applyBorder="1" applyAlignment="1" applyProtection="1">
      <alignment vertical="center" wrapText="1" readingOrder="1"/>
      <protection locked="0"/>
    </xf>
    <xf numFmtId="49" fontId="8" fillId="0" borderId="5" xfId="0" applyNumberFormat="1" applyFont="1" applyBorder="1" applyAlignment="1" applyProtection="1">
      <alignment vertical="center" wrapText="1" readingOrder="1"/>
      <protection locked="0"/>
    </xf>
    <xf numFmtId="3" fontId="5" fillId="0" borderId="0" xfId="1" applyNumberFormat="1" applyFont="1" applyFill="1" applyBorder="1" applyAlignment="1">
      <protection locked="0"/>
    </xf>
    <xf numFmtId="3" fontId="5" fillId="0" borderId="0" xfId="1" applyNumberFormat="1" applyFont="1" applyFill="1" applyBorder="1">
      <protection locked="0"/>
    </xf>
    <xf numFmtId="3" fontId="4" fillId="0" borderId="0" xfId="1" applyNumberFormat="1" applyFont="1" applyFill="1" applyBorder="1" applyAlignment="1">
      <alignment horizontal="right"/>
      <protection locked="0"/>
    </xf>
    <xf numFmtId="0" fontId="14" fillId="0" borderId="0" xfId="0" applyFont="1"/>
    <xf numFmtId="3" fontId="15" fillId="0" borderId="0" xfId="1" applyNumberFormat="1" applyFont="1" applyFill="1" applyBorder="1">
      <protection locked="0"/>
    </xf>
    <xf numFmtId="3" fontId="14" fillId="0" borderId="0" xfId="0" applyNumberFormat="1" applyFont="1"/>
    <xf numFmtId="0" fontId="7" fillId="12" borderId="1" xfId="0" applyFont="1" applyFill="1" applyBorder="1" applyAlignment="1" applyProtection="1">
      <alignment horizontal="center" vertical="center" wrapText="1" readingOrder="1"/>
      <protection locked="0"/>
    </xf>
    <xf numFmtId="0" fontId="8" fillId="0" borderId="29" xfId="0" applyFont="1" applyBorder="1" applyAlignment="1" applyProtection="1">
      <alignment vertical="center" wrapText="1" readingOrder="1"/>
      <protection locked="0"/>
    </xf>
    <xf numFmtId="0" fontId="8" fillId="0" borderId="31" xfId="0" applyFont="1" applyBorder="1" applyAlignment="1" applyProtection="1">
      <alignment vertical="center" wrapText="1" readingOrder="1"/>
      <protection locked="0"/>
    </xf>
    <xf numFmtId="0" fontId="8" fillId="0" borderId="34" xfId="0" applyFont="1" applyBorder="1" applyAlignment="1" applyProtection="1">
      <alignment vertical="center" wrapText="1" readingOrder="1"/>
      <protection locked="0"/>
    </xf>
    <xf numFmtId="0" fontId="8" fillId="0" borderId="42" xfId="0" applyFont="1" applyBorder="1" applyAlignment="1" applyProtection="1">
      <alignment vertical="center" wrapText="1" readingOrder="1"/>
      <protection locked="0"/>
    </xf>
    <xf numFmtId="3" fontId="8" fillId="0" borderId="30" xfId="0" applyNumberFormat="1" applyFont="1" applyBorder="1" applyAlignment="1" applyProtection="1">
      <alignment vertical="center" wrapText="1" readingOrder="1"/>
      <protection locked="0"/>
    </xf>
    <xf numFmtId="49" fontId="8" fillId="0" borderId="11" xfId="0" applyNumberFormat="1" applyFont="1" applyBorder="1" applyAlignment="1" applyProtection="1">
      <alignment vertical="center" wrapText="1" readingOrder="1"/>
      <protection locked="0"/>
    </xf>
    <xf numFmtId="3" fontId="8" fillId="0" borderId="4" xfId="0" applyNumberFormat="1" applyFont="1" applyBorder="1" applyAlignment="1" applyProtection="1">
      <alignment horizontal="center" vertical="center" wrapText="1" readingOrder="1"/>
      <protection locked="0"/>
    </xf>
    <xf numFmtId="3" fontId="10" fillId="12" borderId="8" xfId="0" applyNumberFormat="1" applyFont="1" applyFill="1" applyBorder="1" applyAlignment="1" applyProtection="1">
      <alignment horizontal="center" vertical="center" wrapText="1" readingOrder="1"/>
      <protection locked="0"/>
    </xf>
    <xf numFmtId="0" fontId="12" fillId="0" borderId="0" xfId="0" applyFont="1"/>
    <xf numFmtId="49" fontId="8" fillId="0" borderId="42" xfId="0" applyNumberFormat="1" applyFont="1" applyBorder="1" applyAlignment="1" applyProtection="1">
      <alignment vertical="center" wrapText="1" readingOrder="1"/>
      <protection locked="0"/>
    </xf>
    <xf numFmtId="3" fontId="8" fillId="0" borderId="44" xfId="0" applyNumberFormat="1" applyFont="1" applyBorder="1" applyAlignment="1" applyProtection="1">
      <alignment vertical="center" wrapText="1" readingOrder="1"/>
      <protection locked="0"/>
    </xf>
    <xf numFmtId="3" fontId="8" fillId="0" borderId="23" xfId="0" applyNumberFormat="1" applyFont="1" applyBorder="1" applyAlignment="1" applyProtection="1">
      <alignment horizontal="center" vertical="center" wrapText="1" readingOrder="1"/>
      <protection locked="0"/>
    </xf>
    <xf numFmtId="3" fontId="7" fillId="14" borderId="14" xfId="0" applyNumberFormat="1" applyFont="1" applyFill="1" applyBorder="1" applyAlignment="1" applyProtection="1">
      <alignment vertical="center" wrapText="1" readingOrder="1"/>
      <protection locked="0"/>
    </xf>
    <xf numFmtId="3" fontId="7" fillId="14" borderId="7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14" borderId="8" xfId="0" applyNumberFormat="1" applyFont="1" applyFill="1" applyBorder="1" applyAlignment="1" applyProtection="1">
      <alignment vertical="center" wrapText="1" readingOrder="1"/>
      <protection locked="0"/>
    </xf>
    <xf numFmtId="3" fontId="8" fillId="0" borderId="2" xfId="0" applyNumberFormat="1" applyFont="1" applyBorder="1" applyAlignment="1" applyProtection="1">
      <alignment horizontal="center" vertical="center" wrapText="1" readingOrder="1"/>
      <protection locked="0"/>
    </xf>
    <xf numFmtId="0" fontId="8" fillId="0" borderId="2" xfId="0" applyFont="1" applyBorder="1" applyAlignment="1" applyProtection="1">
      <alignment vertical="center" wrapText="1" readingOrder="1"/>
      <protection locked="0"/>
    </xf>
    <xf numFmtId="0" fontId="8" fillId="0" borderId="6" xfId="0" applyFont="1" applyBorder="1" applyAlignment="1" applyProtection="1">
      <alignment vertical="center" wrapText="1" readingOrder="1"/>
      <protection locked="0"/>
    </xf>
    <xf numFmtId="3" fontId="8" fillId="0" borderId="6" xfId="0" applyNumberFormat="1" applyFont="1" applyBorder="1" applyAlignment="1" applyProtection="1">
      <alignment vertical="center" wrapText="1" readingOrder="1"/>
      <protection locked="0"/>
    </xf>
    <xf numFmtId="3" fontId="7" fillId="14" borderId="7" xfId="0" applyNumberFormat="1" applyFont="1" applyFill="1" applyBorder="1" applyAlignment="1" applyProtection="1">
      <alignment vertical="center" wrapText="1" readingOrder="1"/>
      <protection locked="0"/>
    </xf>
    <xf numFmtId="0" fontId="8" fillId="0" borderId="9" xfId="0" applyFont="1" applyBorder="1" applyAlignment="1" applyProtection="1">
      <alignment vertical="center" wrapText="1" readingOrder="1"/>
      <protection locked="0"/>
    </xf>
    <xf numFmtId="3" fontId="10" fillId="12" borderId="50" xfId="0" applyNumberFormat="1" applyFont="1" applyFill="1" applyBorder="1" applyAlignment="1" applyProtection="1">
      <alignment vertical="center" wrapText="1" readingOrder="1"/>
      <protection locked="0"/>
    </xf>
    <xf numFmtId="0" fontId="16" fillId="0" borderId="0" xfId="0" applyFont="1" applyAlignment="1" applyProtection="1">
      <alignment horizontal="center" vertical="center" wrapText="1" readingOrder="1"/>
      <protection locked="0"/>
    </xf>
    <xf numFmtId="49" fontId="8" fillId="0" borderId="9" xfId="0" applyNumberFormat="1" applyFont="1" applyBorder="1" applyAlignment="1" applyProtection="1">
      <alignment vertical="center" wrapText="1" readingOrder="1"/>
      <protection locked="0"/>
    </xf>
    <xf numFmtId="3" fontId="10" fillId="12" borderId="50" xfId="0" applyNumberFormat="1" applyFont="1" applyFill="1" applyBorder="1" applyAlignment="1" applyProtection="1">
      <alignment horizontal="center" vertical="center" wrapText="1" readingOrder="1"/>
      <protection locked="0"/>
    </xf>
    <xf numFmtId="0" fontId="8" fillId="0" borderId="10" xfId="0" applyFont="1" applyBorder="1" applyAlignment="1" applyProtection="1">
      <alignment vertical="center" wrapText="1" readingOrder="1"/>
      <protection locked="0"/>
    </xf>
    <xf numFmtId="3" fontId="3" fillId="12" borderId="25" xfId="0" applyNumberFormat="1" applyFont="1" applyFill="1" applyBorder="1" applyAlignment="1">
      <alignment horizontal="center"/>
    </xf>
    <xf numFmtId="0" fontId="19" fillId="0" borderId="0" xfId="0" applyFont="1"/>
    <xf numFmtId="0" fontId="20" fillId="0" borderId="0" xfId="0" applyFont="1" applyAlignment="1">
      <alignment horizontal="right"/>
    </xf>
    <xf numFmtId="0" fontId="18" fillId="2" borderId="1" xfId="0" applyFont="1" applyFill="1" applyBorder="1" applyAlignment="1">
      <alignment horizontal="center" vertical="center" wrapText="1" shrinkToFit="1"/>
    </xf>
    <xf numFmtId="0" fontId="18" fillId="2" borderId="19" xfId="0" applyFont="1" applyFill="1" applyBorder="1" applyAlignment="1">
      <alignment horizontal="center" vertical="center" wrapText="1" shrinkToFit="1"/>
    </xf>
    <xf numFmtId="49" fontId="19" fillId="3" borderId="3" xfId="0" applyNumberFormat="1" applyFont="1" applyFill="1" applyBorder="1" applyAlignment="1">
      <alignment horizontal="left" vertical="center" wrapText="1" shrinkToFit="1"/>
    </xf>
    <xf numFmtId="49" fontId="19" fillId="3" borderId="4" xfId="0" applyNumberFormat="1" applyFont="1" applyFill="1" applyBorder="1" applyAlignment="1">
      <alignment vertical="center" wrapText="1" shrinkToFit="1"/>
    </xf>
    <xf numFmtId="3" fontId="19" fillId="3" borderId="4" xfId="0" applyNumberFormat="1" applyFont="1" applyFill="1" applyBorder="1" applyAlignment="1">
      <alignment vertical="center" wrapText="1" shrinkToFit="1"/>
    </xf>
    <xf numFmtId="3" fontId="19" fillId="3" borderId="4" xfId="0" applyNumberFormat="1" applyFont="1" applyFill="1" applyBorder="1" applyAlignment="1">
      <alignment horizontal="center" vertical="center" wrapText="1" shrinkToFit="1"/>
    </xf>
    <xf numFmtId="3" fontId="19" fillId="3" borderId="16" xfId="0" applyNumberFormat="1" applyFont="1" applyFill="1" applyBorder="1" applyAlignment="1">
      <alignment vertical="center" wrapText="1" shrinkToFit="1"/>
    </xf>
    <xf numFmtId="49" fontId="19" fillId="3" borderId="6" xfId="0" applyNumberFormat="1" applyFont="1" applyFill="1" applyBorder="1" applyAlignment="1">
      <alignment vertical="center" wrapText="1" shrinkToFit="1"/>
    </xf>
    <xf numFmtId="3" fontId="19" fillId="3" borderId="24" xfId="0" applyNumberFormat="1" applyFont="1" applyFill="1" applyBorder="1" applyAlignment="1">
      <alignment vertical="center" wrapText="1" shrinkToFit="1"/>
    </xf>
    <xf numFmtId="49" fontId="20" fillId="3" borderId="2" xfId="0" applyNumberFormat="1" applyFont="1" applyFill="1" applyBorder="1" applyAlignment="1">
      <alignment vertical="center" wrapText="1" shrinkToFit="1"/>
    </xf>
    <xf numFmtId="3" fontId="20" fillId="3" borderId="15" xfId="0" applyNumberFormat="1" applyFont="1" applyFill="1" applyBorder="1" applyAlignment="1">
      <alignment vertical="center" wrapText="1" shrinkToFit="1"/>
    </xf>
    <xf numFmtId="3" fontId="18" fillId="4" borderId="8" xfId="0" applyNumberFormat="1" applyFont="1" applyFill="1" applyBorder="1"/>
    <xf numFmtId="3" fontId="18" fillId="4" borderId="7" xfId="0" applyNumberFormat="1" applyFont="1" applyFill="1" applyBorder="1" applyAlignment="1">
      <alignment horizontal="center"/>
    </xf>
    <xf numFmtId="49" fontId="19" fillId="0" borderId="9" xfId="0" applyNumberFormat="1" applyFont="1" applyBorder="1" applyAlignment="1">
      <alignment horizontal="left" vertical="center" wrapText="1" shrinkToFit="1"/>
    </xf>
    <xf numFmtId="0" fontId="19" fillId="0" borderId="10" xfId="0" applyFont="1" applyBorder="1" applyAlignment="1">
      <alignment horizontal="left" vertical="center" wrapText="1" shrinkToFit="1"/>
    </xf>
    <xf numFmtId="3" fontId="19" fillId="0" borderId="10" xfId="0" applyNumberFormat="1" applyFont="1" applyBorder="1" applyAlignment="1">
      <alignment horizontal="right" vertical="center" wrapText="1" shrinkToFit="1"/>
    </xf>
    <xf numFmtId="3" fontId="19" fillId="3" borderId="4" xfId="0" applyNumberFormat="1" applyFont="1" applyFill="1" applyBorder="1" applyAlignment="1">
      <alignment horizontal="right" vertical="center" wrapText="1" shrinkToFit="1"/>
    </xf>
    <xf numFmtId="3" fontId="19" fillId="0" borderId="17" xfId="0" applyNumberFormat="1" applyFont="1" applyBorder="1" applyAlignment="1">
      <alignment horizontal="right" vertical="center" wrapText="1" shrinkToFit="1"/>
    </xf>
    <xf numFmtId="49" fontId="19" fillId="0" borderId="3" xfId="0" applyNumberFormat="1" applyFont="1" applyBorder="1" applyAlignment="1">
      <alignment horizontal="left" vertical="center" wrapText="1" shrinkToFit="1"/>
    </xf>
    <xf numFmtId="0" fontId="19" fillId="0" borderId="4" xfId="0" applyFont="1" applyBorder="1" applyAlignment="1">
      <alignment horizontal="left" vertical="center" wrapText="1" shrinkToFit="1"/>
    </xf>
    <xf numFmtId="3" fontId="19" fillId="0" borderId="4" xfId="0" applyNumberFormat="1" applyFont="1" applyBorder="1" applyAlignment="1">
      <alignment horizontal="right" vertical="center" wrapText="1" shrinkToFit="1"/>
    </xf>
    <xf numFmtId="3" fontId="19" fillId="0" borderId="16" xfId="0" applyNumberFormat="1" applyFont="1" applyBorder="1" applyAlignment="1">
      <alignment horizontal="right" vertical="center" wrapText="1" shrinkToFit="1"/>
    </xf>
    <xf numFmtId="3" fontId="19" fillId="3" borderId="16" xfId="0" applyNumberFormat="1" applyFont="1" applyFill="1" applyBorder="1" applyAlignment="1">
      <alignment horizontal="right" vertical="center" wrapText="1" shrinkToFit="1"/>
    </xf>
    <xf numFmtId="0" fontId="18" fillId="0" borderId="0" xfId="0" applyFont="1" applyAlignment="1">
      <alignment horizontal="center"/>
    </xf>
    <xf numFmtId="3" fontId="18" fillId="0" borderId="0" xfId="0" applyNumberFormat="1" applyFont="1"/>
    <xf numFmtId="3" fontId="18" fillId="0" borderId="0" xfId="0" applyNumberFormat="1" applyFont="1" applyAlignment="1">
      <alignment horizontal="center"/>
    </xf>
    <xf numFmtId="0" fontId="21" fillId="9" borderId="1" xfId="0" applyFont="1" applyFill="1" applyBorder="1" applyAlignment="1">
      <alignment horizontal="center" vertical="center" wrapText="1" shrinkToFit="1"/>
    </xf>
    <xf numFmtId="0" fontId="21" fillId="9" borderId="19" xfId="0" applyFont="1" applyFill="1" applyBorder="1" applyAlignment="1">
      <alignment horizontal="center" vertical="center" wrapText="1" shrinkToFit="1"/>
    </xf>
    <xf numFmtId="49" fontId="22" fillId="3" borderId="3" xfId="0" applyNumberFormat="1" applyFont="1" applyFill="1" applyBorder="1" applyAlignment="1">
      <alignment vertical="center" wrapText="1" shrinkToFit="1"/>
    </xf>
    <xf numFmtId="49" fontId="22" fillId="0" borderId="4" xfId="0" applyNumberFormat="1" applyFont="1" applyBorder="1" applyAlignment="1">
      <alignment horizontal="left" vertical="center" wrapText="1" shrinkToFit="1"/>
    </xf>
    <xf numFmtId="3" fontId="22" fillId="0" borderId="30" xfId="0" applyNumberFormat="1" applyFont="1" applyBorder="1" applyAlignment="1">
      <alignment horizontal="right" vertical="center" wrapText="1" shrinkToFit="1"/>
    </xf>
    <xf numFmtId="3" fontId="22" fillId="0" borderId="4" xfId="0" applyNumberFormat="1" applyFont="1" applyBorder="1" applyAlignment="1">
      <alignment horizontal="center" vertical="center" wrapText="1" shrinkToFit="1"/>
    </xf>
    <xf numFmtId="3" fontId="22" fillId="0" borderId="16" xfId="0" applyNumberFormat="1" applyFont="1" applyBorder="1" applyAlignment="1">
      <alignment horizontal="right" vertical="center" wrapText="1" shrinkToFit="1"/>
    </xf>
    <xf numFmtId="49" fontId="22" fillId="3" borderId="11" xfId="0" applyNumberFormat="1" applyFont="1" applyFill="1" applyBorder="1" applyAlignment="1">
      <alignment vertical="center" wrapText="1" shrinkToFit="1"/>
    </xf>
    <xf numFmtId="49" fontId="22" fillId="0" borderId="2" xfId="0" applyNumberFormat="1" applyFont="1" applyBorder="1" applyAlignment="1">
      <alignment horizontal="left" vertical="center" wrapText="1" shrinkToFit="1"/>
    </xf>
    <xf numFmtId="3" fontId="22" fillId="0" borderId="15" xfId="0" applyNumberFormat="1" applyFont="1" applyBorder="1" applyAlignment="1">
      <alignment horizontal="right" vertical="center" wrapText="1" shrinkToFit="1"/>
    </xf>
    <xf numFmtId="49" fontId="22" fillId="3" borderId="5" xfId="0" applyNumberFormat="1" applyFont="1" applyFill="1" applyBorder="1" applyAlignment="1">
      <alignment vertical="center" wrapText="1" shrinkToFit="1"/>
    </xf>
    <xf numFmtId="49" fontId="22" fillId="0" borderId="6" xfId="0" applyNumberFormat="1" applyFont="1" applyBorder="1" applyAlignment="1">
      <alignment horizontal="left" vertical="center" wrapText="1" shrinkToFit="1"/>
    </xf>
    <xf numFmtId="3" fontId="23" fillId="11" borderId="8" xfId="0" applyNumberFormat="1" applyFont="1" applyFill="1" applyBorder="1" applyAlignment="1">
      <alignment horizontal="right" vertical="center" wrapText="1" shrinkToFit="1"/>
    </xf>
    <xf numFmtId="3" fontId="23" fillId="11" borderId="7" xfId="0" applyNumberFormat="1" applyFont="1" applyFill="1" applyBorder="1" applyAlignment="1">
      <alignment horizontal="center" vertical="center" wrapText="1" shrinkToFit="1"/>
    </xf>
    <xf numFmtId="49" fontId="22" fillId="3" borderId="2" xfId="0" applyNumberFormat="1" applyFont="1" applyFill="1" applyBorder="1" applyAlignment="1">
      <alignment vertical="center" wrapText="1" shrinkToFit="1"/>
    </xf>
    <xf numFmtId="49" fontId="22" fillId="3" borderId="30" xfId="0" applyNumberFormat="1" applyFont="1" applyFill="1" applyBorder="1" applyAlignment="1">
      <alignment horizontal="left" vertical="center" wrapText="1" shrinkToFit="1"/>
    </xf>
    <xf numFmtId="3" fontId="22" fillId="3" borderId="30" xfId="0" applyNumberFormat="1" applyFont="1" applyFill="1" applyBorder="1" applyAlignment="1">
      <alignment horizontal="right" vertical="center" wrapText="1" shrinkToFit="1"/>
    </xf>
    <xf numFmtId="3" fontId="22" fillId="3" borderId="4" xfId="0" applyNumberFormat="1" applyFont="1" applyFill="1" applyBorder="1" applyAlignment="1">
      <alignment horizontal="center" vertical="center" wrapText="1" shrinkToFit="1"/>
    </xf>
    <xf numFmtId="3" fontId="22" fillId="3" borderId="16" xfId="0" applyNumberFormat="1" applyFont="1" applyFill="1" applyBorder="1" applyAlignment="1">
      <alignment horizontal="right" vertical="center" wrapText="1" shrinkToFit="1"/>
    </xf>
    <xf numFmtId="49" fontId="22" fillId="3" borderId="29" xfId="0" applyNumberFormat="1" applyFont="1" applyFill="1" applyBorder="1" applyAlignment="1">
      <alignment horizontal="left" vertical="center" wrapText="1" shrinkToFit="1"/>
    </xf>
    <xf numFmtId="3" fontId="22" fillId="3" borderId="29" xfId="0" applyNumberFormat="1" applyFont="1" applyFill="1" applyBorder="1" applyAlignment="1">
      <alignment horizontal="right" vertical="center" wrapText="1" shrinkToFit="1"/>
    </xf>
    <xf numFmtId="3" fontId="22" fillId="3" borderId="15" xfId="0" applyNumberFormat="1" applyFont="1" applyFill="1" applyBorder="1" applyAlignment="1">
      <alignment horizontal="right" vertical="center" wrapText="1" shrinkToFit="1"/>
    </xf>
    <xf numFmtId="3" fontId="22" fillId="0" borderId="29" xfId="0" applyNumberFormat="1" applyFont="1" applyBorder="1" applyAlignment="1">
      <alignment horizontal="right" vertical="center" wrapText="1" shrinkToFit="1"/>
    </xf>
    <xf numFmtId="49" fontId="22" fillId="0" borderId="29" xfId="0" applyNumberFormat="1" applyFont="1" applyBorder="1" applyAlignment="1">
      <alignment horizontal="left" vertical="center" wrapText="1" shrinkToFit="1"/>
    </xf>
    <xf numFmtId="49" fontId="22" fillId="0" borderId="2" xfId="0" applyNumberFormat="1" applyFont="1" applyBorder="1" applyAlignment="1">
      <alignment vertical="center" wrapText="1" shrinkToFit="1"/>
    </xf>
    <xf numFmtId="49" fontId="22" fillId="0" borderId="11" xfId="0" applyNumberFormat="1" applyFont="1" applyBorder="1" applyAlignment="1">
      <alignment vertical="center" wrapText="1" shrinkToFit="1"/>
    </xf>
    <xf numFmtId="49" fontId="22" fillId="0" borderId="5" xfId="0" applyNumberFormat="1" applyFont="1" applyBorder="1" applyAlignment="1">
      <alignment vertical="center" wrapText="1" shrinkToFit="1"/>
    </xf>
    <xf numFmtId="3" fontId="22" fillId="0" borderId="20" xfId="0" applyNumberFormat="1" applyFont="1" applyBorder="1" applyAlignment="1">
      <alignment horizontal="right" vertical="center" wrapText="1" shrinkToFit="1"/>
    </xf>
    <xf numFmtId="3" fontId="21" fillId="10" borderId="7" xfId="0" applyNumberFormat="1" applyFont="1" applyFill="1" applyBorder="1"/>
    <xf numFmtId="3" fontId="21" fillId="10" borderId="7" xfId="0" applyNumberFormat="1" applyFont="1" applyFill="1" applyBorder="1" applyAlignment="1">
      <alignment horizontal="center"/>
    </xf>
    <xf numFmtId="49" fontId="22" fillId="0" borderId="21" xfId="0" applyNumberFormat="1" applyFont="1" applyBorder="1" applyAlignment="1">
      <alignment horizontal="left" vertical="center" wrapText="1" shrinkToFit="1"/>
    </xf>
    <xf numFmtId="49" fontId="22" fillId="0" borderId="12" xfId="0" applyNumberFormat="1" applyFont="1" applyBorder="1" applyAlignment="1">
      <alignment horizontal="left" vertical="center" wrapText="1" shrinkToFit="1"/>
    </xf>
    <xf numFmtId="3" fontId="22" fillId="0" borderId="47" xfId="0" applyNumberFormat="1" applyFont="1" applyBorder="1" applyAlignment="1">
      <alignment horizontal="right" vertical="center" wrapText="1" shrinkToFit="1"/>
    </xf>
    <xf numFmtId="3" fontId="22" fillId="0" borderId="13" xfId="0" applyNumberFormat="1" applyFont="1" applyBorder="1" applyAlignment="1">
      <alignment horizontal="right" vertical="center" wrapText="1" shrinkToFit="1"/>
    </xf>
    <xf numFmtId="49" fontId="22" fillId="0" borderId="18" xfId="0" applyNumberFormat="1" applyFont="1" applyBorder="1" applyAlignment="1">
      <alignment horizontal="left" vertical="center" wrapText="1" shrinkToFit="1"/>
    </xf>
    <xf numFmtId="49" fontId="22" fillId="0" borderId="1" xfId="0" applyNumberFormat="1" applyFont="1" applyBorder="1" applyAlignment="1">
      <alignment horizontal="left" vertical="center" wrapText="1" shrinkToFit="1"/>
    </xf>
    <xf numFmtId="3" fontId="22" fillId="0" borderId="51" xfId="0" applyNumberFormat="1" applyFont="1" applyBorder="1" applyAlignment="1">
      <alignment horizontal="right" vertical="center" wrapText="1" shrinkToFit="1"/>
    </xf>
    <xf numFmtId="3" fontId="22" fillId="0" borderId="1" xfId="0" applyNumberFormat="1" applyFont="1" applyBorder="1" applyAlignment="1">
      <alignment horizontal="right" vertical="center" wrapText="1" shrinkToFit="1"/>
    </xf>
    <xf numFmtId="3" fontId="22" fillId="0" borderId="19" xfId="0" applyNumberFormat="1" applyFont="1" applyBorder="1" applyAlignment="1">
      <alignment horizontal="right" vertical="center" wrapText="1" shrinkToFit="1"/>
    </xf>
    <xf numFmtId="0" fontId="22" fillId="0" borderId="0" xfId="0" applyFont="1"/>
    <xf numFmtId="3" fontId="21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right"/>
    </xf>
    <xf numFmtId="0" fontId="22" fillId="0" borderId="4" xfId="0" applyFont="1" applyBorder="1"/>
    <xf numFmtId="0" fontId="22" fillId="0" borderId="2" xfId="0" applyFont="1" applyBorder="1"/>
    <xf numFmtId="49" fontId="24" fillId="0" borderId="11" xfId="1" applyNumberFormat="1" applyFont="1" applyBorder="1" applyAlignment="1">
      <alignment horizontal="right"/>
      <protection locked="0"/>
    </xf>
    <xf numFmtId="3" fontId="22" fillId="0" borderId="2" xfId="0" applyNumberFormat="1" applyFont="1" applyBorder="1"/>
    <xf numFmtId="3" fontId="22" fillId="0" borderId="15" xfId="1" applyNumberFormat="1" applyFont="1" applyBorder="1" applyAlignment="1">
      <alignment horizontal="right"/>
      <protection locked="0"/>
    </xf>
    <xf numFmtId="0" fontId="22" fillId="0" borderId="6" xfId="0" applyFont="1" applyBorder="1"/>
    <xf numFmtId="49" fontId="23" fillId="0" borderId="14" xfId="0" applyNumberFormat="1" applyFont="1" applyBorder="1" applyAlignment="1">
      <alignment horizontal="right"/>
    </xf>
    <xf numFmtId="0" fontId="21" fillId="0" borderId="7" xfId="0" applyFont="1" applyBorder="1"/>
    <xf numFmtId="3" fontId="21" fillId="0" borderId="7" xfId="1" applyNumberFormat="1" applyFont="1" applyBorder="1" applyAlignment="1">
      <alignment horizontal="right"/>
      <protection locked="0"/>
    </xf>
    <xf numFmtId="3" fontId="21" fillId="0" borderId="8" xfId="1" applyNumberFormat="1" applyFont="1" applyBorder="1" applyAlignment="1">
      <alignment horizontal="right"/>
      <protection locked="0"/>
    </xf>
    <xf numFmtId="0" fontId="22" fillId="0" borderId="23" xfId="0" applyFont="1" applyBorder="1"/>
    <xf numFmtId="3" fontId="22" fillId="0" borderId="46" xfId="1" applyNumberFormat="1" applyFont="1" applyBorder="1">
      <protection locked="0"/>
    </xf>
    <xf numFmtId="49" fontId="24" fillId="0" borderId="22" xfId="1" applyNumberFormat="1" applyFont="1" applyBorder="1" applyAlignment="1">
      <alignment horizontal="right"/>
      <protection locked="0"/>
    </xf>
    <xf numFmtId="3" fontId="22" fillId="0" borderId="23" xfId="0" applyNumberFormat="1" applyFont="1" applyBorder="1"/>
    <xf numFmtId="3" fontId="21" fillId="13" borderId="7" xfId="1" applyNumberFormat="1" applyFont="1" applyFill="1" applyBorder="1">
      <protection locked="0"/>
    </xf>
    <xf numFmtId="3" fontId="21" fillId="13" borderId="38" xfId="1" applyNumberFormat="1" applyFont="1" applyFill="1" applyBorder="1">
      <protection locked="0"/>
    </xf>
    <xf numFmtId="3" fontId="21" fillId="13" borderId="38" xfId="1" applyNumberFormat="1" applyFont="1" applyFill="1" applyBorder="1" applyAlignment="1">
      <alignment horizontal="center"/>
      <protection locked="0"/>
    </xf>
    <xf numFmtId="49" fontId="22" fillId="0" borderId="29" xfId="0" applyNumberFormat="1" applyFont="1" applyBorder="1" applyAlignment="1">
      <alignment vertical="center" wrapText="1" shrinkToFit="1"/>
    </xf>
    <xf numFmtId="3" fontId="10" fillId="12" borderId="25" xfId="0" applyNumberFormat="1" applyFont="1" applyFill="1" applyBorder="1" applyAlignment="1" applyProtection="1">
      <alignment vertical="center" wrapText="1" readingOrder="1"/>
      <protection locked="0"/>
    </xf>
    <xf numFmtId="3" fontId="7" fillId="14" borderId="38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14" borderId="25" xfId="0" applyNumberFormat="1" applyFont="1" applyFill="1" applyBorder="1" applyAlignment="1" applyProtection="1">
      <alignment vertical="center" wrapText="1" readingOrder="1"/>
      <protection locked="0"/>
    </xf>
    <xf numFmtId="3" fontId="8" fillId="0" borderId="10" xfId="0" applyNumberFormat="1" applyFont="1" applyBorder="1" applyAlignment="1" applyProtection="1">
      <alignment horizontal="center" vertical="center" wrapText="1" readingOrder="1"/>
      <protection locked="0"/>
    </xf>
    <xf numFmtId="3" fontId="8" fillId="0" borderId="17" xfId="0" applyNumberFormat="1" applyFont="1" applyBorder="1" applyAlignment="1" applyProtection="1">
      <alignment vertical="center" wrapText="1" readingOrder="1"/>
      <protection locked="0"/>
    </xf>
    <xf numFmtId="3" fontId="8" fillId="0" borderId="4" xfId="0" applyNumberFormat="1" applyFont="1" applyBorder="1" applyAlignment="1" applyProtection="1">
      <alignment vertical="center" wrapText="1" readingOrder="1"/>
      <protection locked="0"/>
    </xf>
    <xf numFmtId="0" fontId="12" fillId="0" borderId="0" xfId="0" applyFont="1" applyAlignment="1">
      <alignment horizontal="center"/>
    </xf>
    <xf numFmtId="49" fontId="24" fillId="0" borderId="3" xfId="0" applyNumberFormat="1" applyFont="1" applyBorder="1" applyAlignment="1">
      <alignment horizontal="right"/>
    </xf>
    <xf numFmtId="49" fontId="24" fillId="0" borderId="11" xfId="0" applyNumberFormat="1" applyFont="1" applyBorder="1" applyAlignment="1">
      <alignment horizontal="right"/>
    </xf>
    <xf numFmtId="49" fontId="24" fillId="0" borderId="22" xfId="0" applyNumberFormat="1" applyFont="1" applyBorder="1" applyAlignment="1">
      <alignment horizontal="right"/>
    </xf>
    <xf numFmtId="3" fontId="22" fillId="0" borderId="31" xfId="0" applyNumberFormat="1" applyFont="1" applyBorder="1"/>
    <xf numFmtId="3" fontId="22" fillId="0" borderId="46" xfId="0" applyNumberFormat="1" applyFont="1" applyBorder="1"/>
    <xf numFmtId="3" fontId="19" fillId="3" borderId="23" xfId="0" applyNumberFormat="1" applyFont="1" applyFill="1" applyBorder="1" applyAlignment="1">
      <alignment horizontal="right" vertical="center" wrapText="1" shrinkToFit="1"/>
    </xf>
    <xf numFmtId="3" fontId="20" fillId="3" borderId="2" xfId="0" applyNumberFormat="1" applyFont="1" applyFill="1" applyBorder="1" applyAlignment="1">
      <alignment horizontal="right" vertical="center" wrapText="1" shrinkToFit="1"/>
    </xf>
    <xf numFmtId="0" fontId="18" fillId="2" borderId="37" xfId="0" applyFont="1" applyFill="1" applyBorder="1" applyAlignment="1">
      <alignment horizontal="center" vertical="center" wrapText="1" shrinkToFit="1"/>
    </xf>
    <xf numFmtId="3" fontId="23" fillId="11" borderId="38" xfId="0" applyNumberFormat="1" applyFont="1" applyFill="1" applyBorder="1" applyAlignment="1">
      <alignment horizontal="right" vertical="center" wrapText="1" shrinkToFit="1"/>
    </xf>
    <xf numFmtId="0" fontId="7" fillId="12" borderId="37" xfId="0" applyFont="1" applyFill="1" applyBorder="1" applyAlignment="1" applyProtection="1">
      <alignment horizontal="center" vertical="center" wrapText="1" readingOrder="1"/>
      <protection locked="0"/>
    </xf>
    <xf numFmtId="3" fontId="18" fillId="14" borderId="27" xfId="0" applyNumberFormat="1" applyFont="1" applyFill="1" applyBorder="1" applyAlignment="1">
      <alignment vertical="center" wrapText="1" readingOrder="1"/>
    </xf>
    <xf numFmtId="3" fontId="8" fillId="0" borderId="29" xfId="0" applyNumberFormat="1" applyFont="1" applyBorder="1" applyAlignment="1" applyProtection="1">
      <alignment vertical="center" wrapText="1" readingOrder="1"/>
      <protection locked="0"/>
    </xf>
    <xf numFmtId="3" fontId="22" fillId="0" borderId="10" xfId="0" applyNumberFormat="1" applyFont="1" applyBorder="1" applyAlignment="1">
      <alignment horizontal="center" vertical="center" wrapText="1" shrinkToFit="1"/>
    </xf>
    <xf numFmtId="3" fontId="21" fillId="10" borderId="8" xfId="0" applyNumberFormat="1" applyFont="1" applyFill="1" applyBorder="1"/>
    <xf numFmtId="3" fontId="12" fillId="0" borderId="0" xfId="0" applyNumberFormat="1" applyFont="1"/>
    <xf numFmtId="1" fontId="21" fillId="13" borderId="41" xfId="2" applyNumberFormat="1" applyFont="1" applyFill="1" applyBorder="1" applyAlignment="1">
      <alignment horizontal="center" vertical="center" wrapText="1"/>
      <protection locked="0"/>
    </xf>
    <xf numFmtId="49" fontId="8" fillId="0" borderId="32" xfId="0" applyNumberFormat="1" applyFont="1" applyBorder="1" applyAlignment="1" applyProtection="1">
      <alignment vertical="center" wrapText="1" readingOrder="1"/>
      <protection locked="0"/>
    </xf>
    <xf numFmtId="3" fontId="8" fillId="0" borderId="24" xfId="0" applyNumberFormat="1" applyFont="1" applyBorder="1" applyAlignment="1" applyProtection="1">
      <alignment vertical="center" wrapText="1" readingOrder="1"/>
      <protection locked="0"/>
    </xf>
    <xf numFmtId="49" fontId="8" fillId="0" borderId="34" xfId="0" applyNumberFormat="1" applyFont="1" applyBorder="1" applyAlignment="1" applyProtection="1">
      <alignment vertical="center" wrapText="1" readingOrder="1"/>
      <protection locked="0"/>
    </xf>
    <xf numFmtId="49" fontId="8" fillId="0" borderId="51" xfId="0" applyNumberFormat="1" applyFont="1" applyBorder="1" applyAlignment="1" applyProtection="1">
      <alignment vertical="center" wrapText="1" readingOrder="1"/>
      <protection locked="0"/>
    </xf>
    <xf numFmtId="0" fontId="8" fillId="0" borderId="45" xfId="0" applyFont="1" applyBorder="1" applyAlignment="1" applyProtection="1">
      <alignment vertical="center" wrapText="1" readingOrder="1"/>
      <protection locked="0"/>
    </xf>
    <xf numFmtId="49" fontId="8" fillId="0" borderId="58" xfId="0" applyNumberFormat="1" applyFont="1" applyBorder="1" applyAlignment="1" applyProtection="1">
      <alignment vertical="center" wrapText="1" readingOrder="1"/>
      <protection locked="0"/>
    </xf>
    <xf numFmtId="3" fontId="18" fillId="14" borderId="26" xfId="0" applyNumberFormat="1" applyFont="1" applyFill="1" applyBorder="1" applyAlignment="1">
      <alignment vertical="center" wrapText="1" readingOrder="1"/>
    </xf>
    <xf numFmtId="3" fontId="18" fillId="14" borderId="7" xfId="0" applyNumberFormat="1" applyFont="1" applyFill="1" applyBorder="1" applyAlignment="1">
      <alignment vertical="center" wrapText="1" readingOrder="1"/>
    </xf>
    <xf numFmtId="3" fontId="18" fillId="14" borderId="38" xfId="0" applyNumberFormat="1" applyFont="1" applyFill="1" applyBorder="1" applyAlignment="1">
      <alignment vertical="center" wrapText="1" readingOrder="1"/>
    </xf>
    <xf numFmtId="49" fontId="8" fillId="0" borderId="2" xfId="0" applyNumberFormat="1" applyFont="1" applyBorder="1" applyAlignment="1" applyProtection="1">
      <alignment vertical="center" wrapText="1" readingOrder="1"/>
      <protection locked="0"/>
    </xf>
    <xf numFmtId="3" fontId="8" fillId="0" borderId="31" xfId="0" applyNumberFormat="1" applyFont="1" applyBorder="1" applyAlignment="1" applyProtection="1">
      <alignment vertical="center" wrapText="1" readingOrder="1"/>
      <protection locked="0"/>
    </xf>
    <xf numFmtId="3" fontId="8" fillId="0" borderId="34" xfId="0" applyNumberFormat="1" applyFont="1" applyBorder="1" applyAlignment="1" applyProtection="1">
      <alignment vertical="center" wrapText="1" readingOrder="1"/>
      <protection locked="0"/>
    </xf>
    <xf numFmtId="3" fontId="8" fillId="0" borderId="51" xfId="0" applyNumberFormat="1" applyFont="1" applyBorder="1" applyAlignment="1" applyProtection="1">
      <alignment vertical="center" wrapText="1" readingOrder="1"/>
      <protection locked="0"/>
    </xf>
    <xf numFmtId="3" fontId="8" fillId="0" borderId="49" xfId="0" applyNumberFormat="1" applyFont="1" applyBorder="1" applyAlignment="1" applyProtection="1">
      <alignment vertical="center" wrapText="1" readingOrder="1"/>
      <protection locked="0"/>
    </xf>
    <xf numFmtId="3" fontId="8" fillId="0" borderId="45" xfId="0" applyNumberFormat="1" applyFont="1" applyBorder="1" applyAlignment="1" applyProtection="1">
      <alignment vertical="center" wrapText="1" readingOrder="1"/>
      <protection locked="0"/>
    </xf>
    <xf numFmtId="49" fontId="8" fillId="16" borderId="5" xfId="0" applyNumberFormat="1" applyFont="1" applyFill="1" applyBorder="1" applyAlignment="1" applyProtection="1">
      <alignment vertical="center" wrapText="1" readingOrder="1"/>
      <protection locked="0"/>
    </xf>
    <xf numFmtId="0" fontId="8" fillId="16" borderId="2" xfId="0" applyFont="1" applyFill="1" applyBorder="1" applyAlignment="1" applyProtection="1">
      <alignment vertical="center" wrapText="1" readingOrder="1"/>
      <protection locked="0"/>
    </xf>
    <xf numFmtId="3" fontId="8" fillId="16" borderId="2" xfId="0" applyNumberFormat="1" applyFont="1" applyFill="1" applyBorder="1" applyAlignment="1" applyProtection="1">
      <alignment vertical="center" wrapText="1" readingOrder="1"/>
      <protection locked="0"/>
    </xf>
    <xf numFmtId="3" fontId="8" fillId="16" borderId="2" xfId="0" applyNumberFormat="1" applyFont="1" applyFill="1" applyBorder="1" applyAlignment="1" applyProtection="1">
      <alignment horizontal="center" vertical="center" wrapText="1" readingOrder="1"/>
      <protection locked="0"/>
    </xf>
    <xf numFmtId="49" fontId="8" fillId="16" borderId="11" xfId="0" applyNumberFormat="1" applyFont="1" applyFill="1" applyBorder="1" applyAlignment="1" applyProtection="1">
      <alignment vertical="center" wrapText="1" readingOrder="1"/>
      <protection locked="0"/>
    </xf>
    <xf numFmtId="49" fontId="8" fillId="16" borderId="22" xfId="0" applyNumberFormat="1" applyFont="1" applyFill="1" applyBorder="1" applyAlignment="1" applyProtection="1">
      <alignment vertical="center" wrapText="1" readingOrder="1"/>
      <protection locked="0"/>
    </xf>
    <xf numFmtId="3" fontId="8" fillId="0" borderId="1" xfId="0" applyNumberFormat="1" applyFont="1" applyBorder="1" applyAlignment="1" applyProtection="1">
      <alignment vertical="center" wrapText="1" readingOrder="1"/>
      <protection locked="0"/>
    </xf>
    <xf numFmtId="3" fontId="22" fillId="0" borderId="2" xfId="0" applyNumberFormat="1" applyFont="1" applyBorder="1" applyAlignment="1">
      <alignment horizontal="right" vertical="center" wrapText="1" shrinkToFit="1"/>
    </xf>
    <xf numFmtId="3" fontId="19" fillId="3" borderId="2" xfId="0" applyNumberFormat="1" applyFont="1" applyFill="1" applyBorder="1" applyAlignment="1">
      <alignment horizontal="right" vertical="center" wrapText="1" shrinkToFit="1"/>
    </xf>
    <xf numFmtId="49" fontId="23" fillId="0" borderId="48" xfId="1" applyNumberFormat="1" applyFont="1" applyBorder="1" applyAlignment="1">
      <alignment horizontal="center"/>
      <protection locked="0"/>
    </xf>
    <xf numFmtId="3" fontId="21" fillId="0" borderId="49" xfId="0" applyNumberFormat="1" applyFont="1" applyBorder="1"/>
    <xf numFmtId="0" fontId="0" fillId="0" borderId="2" xfId="0" applyBorder="1"/>
    <xf numFmtId="3" fontId="22" fillId="0" borderId="10" xfId="0" applyNumberFormat="1" applyFont="1" applyBorder="1"/>
    <xf numFmtId="49" fontId="24" fillId="0" borderId="11" xfId="2" applyNumberFormat="1" applyFont="1" applyBorder="1" applyAlignment="1">
      <alignment horizontal="right"/>
      <protection locked="0"/>
    </xf>
    <xf numFmtId="0" fontId="0" fillId="0" borderId="11" xfId="0" applyBorder="1"/>
    <xf numFmtId="0" fontId="0" fillId="0" borderId="15" xfId="0" applyBorder="1"/>
    <xf numFmtId="49" fontId="24" fillId="0" borderId="9" xfId="0" applyNumberFormat="1" applyFont="1" applyBorder="1" applyAlignment="1">
      <alignment horizontal="right"/>
    </xf>
    <xf numFmtId="0" fontId="22" fillId="0" borderId="10" xfId="0" applyFont="1" applyBorder="1"/>
    <xf numFmtId="3" fontId="22" fillId="0" borderId="45" xfId="0" applyNumberFormat="1" applyFont="1" applyBorder="1"/>
    <xf numFmtId="0" fontId="0" fillId="0" borderId="34" xfId="0" applyBorder="1"/>
    <xf numFmtId="0" fontId="9" fillId="0" borderId="0" xfId="0" applyFont="1"/>
    <xf numFmtId="3" fontId="0" fillId="0" borderId="61" xfId="0" applyNumberFormat="1" applyBorder="1"/>
    <xf numFmtId="3" fontId="8" fillId="0" borderId="23" xfId="0" applyNumberFormat="1" applyFont="1" applyBorder="1" applyAlignment="1" applyProtection="1">
      <alignment vertical="center" wrapText="1" readingOrder="1"/>
      <protection locked="0"/>
    </xf>
    <xf numFmtId="0" fontId="8" fillId="0" borderId="7" xfId="0" applyFont="1" applyBorder="1" applyAlignment="1" applyProtection="1">
      <alignment vertical="center" wrapText="1" readingOrder="1"/>
      <protection locked="0"/>
    </xf>
    <xf numFmtId="3" fontId="12" fillId="17" borderId="0" xfId="0" applyNumberFormat="1" applyFont="1" applyFill="1" applyAlignment="1">
      <alignment horizontal="left"/>
    </xf>
    <xf numFmtId="3" fontId="8" fillId="0" borderId="10" xfId="0" applyNumberFormat="1" applyFont="1" applyBorder="1" applyAlignment="1" applyProtection="1">
      <alignment vertical="center" wrapText="1" readingOrder="1"/>
      <protection locked="0"/>
    </xf>
    <xf numFmtId="3" fontId="8" fillId="0" borderId="49" xfId="0" applyNumberFormat="1" applyFont="1" applyBorder="1" applyAlignment="1" applyProtection="1">
      <alignment horizontal="center" vertical="center" wrapText="1" readingOrder="1"/>
      <protection locked="0"/>
    </xf>
    <xf numFmtId="3" fontId="8" fillId="0" borderId="50" xfId="0" applyNumberFormat="1" applyFont="1" applyBorder="1" applyAlignment="1" applyProtection="1">
      <alignment vertical="center" wrapText="1" readingOrder="1"/>
      <protection locked="0"/>
    </xf>
    <xf numFmtId="49" fontId="22" fillId="3" borderId="4" xfId="0" applyNumberFormat="1" applyFont="1" applyFill="1" applyBorder="1" applyAlignment="1">
      <alignment vertical="center" wrapText="1" shrinkToFit="1"/>
    </xf>
    <xf numFmtId="3" fontId="8" fillId="0" borderId="29" xfId="0" applyNumberFormat="1" applyFont="1" applyBorder="1" applyAlignment="1" applyProtection="1">
      <alignment horizontal="center" vertical="center" wrapText="1" readingOrder="1"/>
      <protection locked="0"/>
    </xf>
    <xf numFmtId="0" fontId="25" fillId="17" borderId="9" xfId="0" applyFont="1" applyFill="1" applyBorder="1" applyAlignment="1" applyProtection="1">
      <alignment vertical="center" wrapText="1" readingOrder="1"/>
      <protection locked="0"/>
    </xf>
    <xf numFmtId="3" fontId="25" fillId="17" borderId="30" xfId="0" applyNumberFormat="1" applyFont="1" applyFill="1" applyBorder="1" applyAlignment="1" applyProtection="1">
      <alignment vertical="center" wrapText="1" readingOrder="1"/>
      <protection locked="0"/>
    </xf>
    <xf numFmtId="3" fontId="25" fillId="17" borderId="4" xfId="0" applyNumberFormat="1" applyFont="1" applyFill="1" applyBorder="1" applyAlignment="1" applyProtection="1">
      <alignment horizontal="center" vertical="center" wrapText="1" readingOrder="1"/>
      <protection locked="0"/>
    </xf>
    <xf numFmtId="3" fontId="25" fillId="17" borderId="16" xfId="0" applyNumberFormat="1" applyFont="1" applyFill="1" applyBorder="1" applyAlignment="1" applyProtection="1">
      <alignment vertical="center" wrapText="1" readingOrder="1"/>
      <protection locked="0"/>
    </xf>
    <xf numFmtId="3" fontId="25" fillId="17" borderId="10" xfId="0" applyNumberFormat="1" applyFont="1" applyFill="1" applyBorder="1" applyAlignment="1" applyProtection="1">
      <alignment vertical="center" wrapText="1" readingOrder="1"/>
      <protection locked="0"/>
    </xf>
    <xf numFmtId="3" fontId="25" fillId="17" borderId="10" xfId="0" applyNumberFormat="1" applyFont="1" applyFill="1" applyBorder="1" applyAlignment="1" applyProtection="1">
      <alignment horizontal="center" vertical="center" wrapText="1" readingOrder="1"/>
      <protection locked="0"/>
    </xf>
    <xf numFmtId="3" fontId="25" fillId="17" borderId="17" xfId="0" applyNumberFormat="1" applyFont="1" applyFill="1" applyBorder="1" applyAlignment="1" applyProtection="1">
      <alignment vertical="center" wrapText="1" readingOrder="1"/>
      <protection locked="0"/>
    </xf>
    <xf numFmtId="0" fontId="25" fillId="17" borderId="11" xfId="0" applyFont="1" applyFill="1" applyBorder="1" applyAlignment="1" applyProtection="1">
      <alignment vertical="center" wrapText="1" readingOrder="1"/>
      <protection locked="0"/>
    </xf>
    <xf numFmtId="3" fontId="25" fillId="17" borderId="15" xfId="0" applyNumberFormat="1" applyFont="1" applyFill="1" applyBorder="1" applyAlignment="1" applyProtection="1">
      <alignment vertical="center" wrapText="1" readingOrder="1"/>
      <protection locked="0"/>
    </xf>
    <xf numFmtId="49" fontId="25" fillId="17" borderId="11" xfId="0" applyNumberFormat="1" applyFont="1" applyFill="1" applyBorder="1" applyAlignment="1" applyProtection="1">
      <alignment vertical="center" wrapText="1" readingOrder="1"/>
      <protection locked="0"/>
    </xf>
    <xf numFmtId="3" fontId="25" fillId="17" borderId="29" xfId="0" applyNumberFormat="1" applyFont="1" applyFill="1" applyBorder="1" applyAlignment="1" applyProtection="1">
      <alignment vertical="center" wrapText="1" readingOrder="1"/>
      <protection locked="0"/>
    </xf>
    <xf numFmtId="3" fontId="7" fillId="14" borderId="48" xfId="0" applyNumberFormat="1" applyFont="1" applyFill="1" applyBorder="1" applyAlignment="1" applyProtection="1">
      <alignment vertical="center" wrapText="1" readingOrder="1"/>
      <protection locked="0"/>
    </xf>
    <xf numFmtId="3" fontId="7" fillId="14" borderId="49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14" borderId="50" xfId="0" applyNumberFormat="1" applyFont="1" applyFill="1" applyBorder="1" applyAlignment="1" applyProtection="1">
      <alignment vertical="center" wrapText="1" readingOrder="1"/>
      <protection locked="0"/>
    </xf>
    <xf numFmtId="3" fontId="25" fillId="17" borderId="2" xfId="0" applyNumberFormat="1" applyFont="1" applyFill="1" applyBorder="1" applyAlignment="1" applyProtection="1">
      <alignment vertical="center" wrapText="1" readingOrder="1"/>
      <protection locked="0"/>
    </xf>
    <xf numFmtId="3" fontId="25" fillId="17" borderId="2" xfId="0" applyNumberFormat="1" applyFont="1" applyFill="1" applyBorder="1" applyAlignment="1" applyProtection="1">
      <alignment horizontal="center" vertical="center" wrapText="1" readingOrder="1"/>
      <protection locked="0"/>
    </xf>
    <xf numFmtId="49" fontId="25" fillId="17" borderId="18" xfId="0" applyNumberFormat="1" applyFont="1" applyFill="1" applyBorder="1" applyAlignment="1" applyProtection="1">
      <alignment vertical="center" wrapText="1" readingOrder="1"/>
      <protection locked="0"/>
    </xf>
    <xf numFmtId="3" fontId="25" fillId="17" borderId="1" xfId="0" applyNumberFormat="1" applyFont="1" applyFill="1" applyBorder="1" applyAlignment="1" applyProtection="1">
      <alignment vertical="center" wrapText="1" readingOrder="1"/>
      <protection locked="0"/>
    </xf>
    <xf numFmtId="3" fontId="25" fillId="17" borderId="19" xfId="0" applyNumberFormat="1" applyFont="1" applyFill="1" applyBorder="1" applyAlignment="1" applyProtection="1">
      <alignment vertical="center" wrapText="1" readingOrder="1"/>
      <protection locked="0"/>
    </xf>
    <xf numFmtId="49" fontId="25" fillId="17" borderId="58" xfId="0" applyNumberFormat="1" applyFont="1" applyFill="1" applyBorder="1" applyAlignment="1" applyProtection="1">
      <alignment vertical="center" wrapText="1" readingOrder="1"/>
      <protection locked="0"/>
    </xf>
    <xf numFmtId="3" fontId="25" fillId="17" borderId="60" xfId="0" applyNumberFormat="1" applyFont="1" applyFill="1" applyBorder="1" applyAlignment="1" applyProtection="1">
      <alignment vertical="center" wrapText="1" readingOrder="1"/>
      <protection locked="0"/>
    </xf>
    <xf numFmtId="3" fontId="25" fillId="17" borderId="49" xfId="0" applyNumberFormat="1" applyFont="1" applyFill="1" applyBorder="1" applyAlignment="1" applyProtection="1">
      <alignment horizontal="center" vertical="center" wrapText="1" readingOrder="1"/>
      <protection locked="0"/>
    </xf>
    <xf numFmtId="3" fontId="25" fillId="17" borderId="50" xfId="0" applyNumberFormat="1" applyFont="1" applyFill="1" applyBorder="1" applyAlignment="1" applyProtection="1">
      <alignment vertical="center" wrapText="1" readingOrder="1"/>
      <protection locked="0"/>
    </xf>
    <xf numFmtId="0" fontId="25" fillId="17" borderId="3" xfId="0" applyFont="1" applyFill="1" applyBorder="1" applyAlignment="1" applyProtection="1">
      <alignment vertical="center" wrapText="1" readingOrder="1"/>
      <protection locked="0"/>
    </xf>
    <xf numFmtId="49" fontId="25" fillId="17" borderId="5" xfId="0" applyNumberFormat="1" applyFont="1" applyFill="1" applyBorder="1" applyAlignment="1" applyProtection="1">
      <alignment vertical="center" wrapText="1" readingOrder="1"/>
      <protection locked="0"/>
    </xf>
    <xf numFmtId="3" fontId="25" fillId="17" borderId="20" xfId="0" applyNumberFormat="1" applyFont="1" applyFill="1" applyBorder="1" applyAlignment="1" applyProtection="1">
      <alignment vertical="center" wrapText="1" readingOrder="1"/>
      <protection locked="0"/>
    </xf>
    <xf numFmtId="49" fontId="25" fillId="17" borderId="3" xfId="0" applyNumberFormat="1" applyFont="1" applyFill="1" applyBorder="1" applyAlignment="1" applyProtection="1">
      <alignment vertical="center" wrapText="1" readingOrder="1"/>
      <protection locked="0"/>
    </xf>
    <xf numFmtId="3" fontId="8" fillId="0" borderId="30" xfId="0" applyNumberFormat="1" applyFont="1" applyBorder="1" applyAlignment="1" applyProtection="1">
      <alignment horizontal="center" vertical="center" wrapText="1" readingOrder="1"/>
      <protection locked="0"/>
    </xf>
    <xf numFmtId="3" fontId="25" fillId="17" borderId="30" xfId="0" applyNumberFormat="1" applyFont="1" applyFill="1" applyBorder="1" applyAlignment="1" applyProtection="1">
      <alignment horizontal="center" vertical="center" wrapText="1" readingOrder="1"/>
      <protection locked="0"/>
    </xf>
    <xf numFmtId="3" fontId="25" fillId="17" borderId="4" xfId="0" applyNumberFormat="1" applyFont="1" applyFill="1" applyBorder="1" applyAlignment="1" applyProtection="1">
      <alignment vertical="center" wrapText="1" readingOrder="1"/>
      <protection locked="0"/>
    </xf>
    <xf numFmtId="0" fontId="25" fillId="17" borderId="22" xfId="0" applyFont="1" applyFill="1" applyBorder="1" applyAlignment="1" applyProtection="1">
      <alignment vertical="center" wrapText="1" readingOrder="1"/>
      <protection locked="0"/>
    </xf>
    <xf numFmtId="0" fontId="25" fillId="17" borderId="5" xfId="0" applyFont="1" applyFill="1" applyBorder="1" applyAlignment="1" applyProtection="1">
      <alignment vertical="center" wrapText="1" readingOrder="1"/>
      <protection locked="0"/>
    </xf>
    <xf numFmtId="49" fontId="25" fillId="17" borderId="32" xfId="0" applyNumberFormat="1" applyFont="1" applyFill="1" applyBorder="1" applyAlignment="1" applyProtection="1">
      <alignment vertical="center" wrapText="1" readingOrder="1"/>
      <protection locked="0"/>
    </xf>
    <xf numFmtId="0" fontId="25" fillId="17" borderId="7" xfId="0" applyFont="1" applyFill="1" applyBorder="1" applyAlignment="1" applyProtection="1">
      <alignment vertical="center" wrapText="1" readingOrder="1"/>
      <protection locked="0"/>
    </xf>
    <xf numFmtId="3" fontId="25" fillId="17" borderId="23" xfId="0" applyNumberFormat="1" applyFont="1" applyFill="1" applyBorder="1" applyAlignment="1" applyProtection="1">
      <alignment vertical="center" wrapText="1" readingOrder="1"/>
      <protection locked="0"/>
    </xf>
    <xf numFmtId="3" fontId="25" fillId="17" borderId="23" xfId="0" applyNumberFormat="1" applyFont="1" applyFill="1" applyBorder="1" applyAlignment="1" applyProtection="1">
      <alignment horizontal="center" vertical="center" wrapText="1" readingOrder="1"/>
      <protection locked="0"/>
    </xf>
    <xf numFmtId="3" fontId="22" fillId="17" borderId="16" xfId="0" applyNumberFormat="1" applyFont="1" applyFill="1" applyBorder="1" applyAlignment="1">
      <alignment vertical="center" wrapText="1" shrinkToFit="1"/>
    </xf>
    <xf numFmtId="49" fontId="25" fillId="17" borderId="9" xfId="0" applyNumberFormat="1" applyFont="1" applyFill="1" applyBorder="1" applyAlignment="1" applyProtection="1">
      <alignment vertical="center" wrapText="1" readingOrder="1"/>
      <protection locked="0"/>
    </xf>
    <xf numFmtId="3" fontId="25" fillId="17" borderId="44" xfId="0" applyNumberFormat="1" applyFont="1" applyFill="1" applyBorder="1" applyAlignment="1" applyProtection="1">
      <alignment vertical="center" wrapText="1" readingOrder="1"/>
      <protection locked="0"/>
    </xf>
    <xf numFmtId="49" fontId="24" fillId="0" borderId="9" xfId="1" applyNumberFormat="1" applyFont="1" applyBorder="1" applyAlignment="1">
      <alignment horizontal="right"/>
      <protection locked="0"/>
    </xf>
    <xf numFmtId="3" fontId="21" fillId="0" borderId="45" xfId="1" applyNumberFormat="1" applyFont="1" applyBorder="1" applyAlignment="1">
      <alignment horizontal="right"/>
      <protection locked="0"/>
    </xf>
    <xf numFmtId="3" fontId="21" fillId="0" borderId="17" xfId="1" applyNumberFormat="1" applyFont="1" applyBorder="1" applyAlignment="1">
      <alignment horizontal="right"/>
      <protection locked="0"/>
    </xf>
    <xf numFmtId="49" fontId="23" fillId="0" borderId="9" xfId="0" applyNumberFormat="1" applyFont="1" applyBorder="1" applyAlignment="1">
      <alignment horizontal="right"/>
    </xf>
    <xf numFmtId="0" fontId="21" fillId="0" borderId="10" xfId="0" applyFont="1" applyBorder="1"/>
    <xf numFmtId="3" fontId="21" fillId="0" borderId="10" xfId="1" applyNumberFormat="1" applyFont="1" applyBorder="1" applyAlignment="1">
      <alignment horizontal="right"/>
      <protection locked="0"/>
    </xf>
    <xf numFmtId="0" fontId="26" fillId="17" borderId="43" xfId="0" applyFont="1" applyFill="1" applyBorder="1" applyAlignment="1" applyProtection="1">
      <alignment horizontal="center" vertical="center" wrapText="1" readingOrder="1"/>
      <protection locked="0"/>
    </xf>
    <xf numFmtId="0" fontId="26" fillId="17" borderId="6" xfId="0" applyFont="1" applyFill="1" applyBorder="1" applyAlignment="1" applyProtection="1">
      <alignment horizontal="center" vertical="center" wrapText="1" readingOrder="1"/>
      <protection locked="0"/>
    </xf>
    <xf numFmtId="9" fontId="0" fillId="0" borderId="0" xfId="0" applyNumberFormat="1"/>
    <xf numFmtId="165" fontId="25" fillId="17" borderId="4" xfId="0" applyNumberFormat="1" applyFont="1" applyFill="1" applyBorder="1" applyAlignment="1" applyProtection="1">
      <alignment horizontal="center" vertical="center" wrapText="1" readingOrder="1"/>
      <protection locked="0"/>
    </xf>
    <xf numFmtId="3" fontId="25" fillId="17" borderId="45" xfId="0" applyNumberFormat="1" applyFont="1" applyFill="1" applyBorder="1" applyAlignment="1" applyProtection="1">
      <alignment vertical="center" wrapText="1" readingOrder="1"/>
      <protection locked="0"/>
    </xf>
    <xf numFmtId="165" fontId="25" fillId="17" borderId="10" xfId="0" applyNumberFormat="1" applyFont="1" applyFill="1" applyBorder="1" applyAlignment="1" applyProtection="1">
      <alignment vertical="center" wrapText="1" readingOrder="1"/>
      <protection locked="0"/>
    </xf>
    <xf numFmtId="0" fontId="8" fillId="0" borderId="34" xfId="0" applyFont="1" applyBorder="1" applyAlignment="1" applyProtection="1">
      <alignment horizontal="left" vertical="center" wrapText="1" readingOrder="1"/>
      <protection locked="0"/>
    </xf>
    <xf numFmtId="0" fontId="8" fillId="0" borderId="55" xfId="0" applyFont="1" applyBorder="1" applyAlignment="1" applyProtection="1">
      <alignment horizontal="left" vertical="center" wrapText="1" readingOrder="1"/>
      <protection locked="0"/>
    </xf>
    <xf numFmtId="0" fontId="8" fillId="0" borderId="29" xfId="0" applyFont="1" applyBorder="1" applyAlignment="1" applyProtection="1">
      <alignment horizontal="left" vertical="center" wrapText="1" readingOrder="1"/>
      <protection locked="0"/>
    </xf>
    <xf numFmtId="3" fontId="8" fillId="0" borderId="61" xfId="0" applyNumberFormat="1" applyFont="1" applyBorder="1" applyAlignment="1" applyProtection="1">
      <alignment vertical="center" wrapText="1" readingOrder="1"/>
      <protection locked="0"/>
    </xf>
    <xf numFmtId="3" fontId="22" fillId="0" borderId="46" xfId="0" applyNumberFormat="1" applyFont="1" applyBorder="1" applyAlignment="1">
      <alignment horizontal="right" vertical="center" wrapText="1" shrinkToFit="1"/>
    </xf>
    <xf numFmtId="3" fontId="22" fillId="0" borderId="10" xfId="0" applyNumberFormat="1" applyFont="1" applyBorder="1" applyAlignment="1">
      <alignment horizontal="right" vertical="center" wrapText="1" shrinkToFit="1"/>
    </xf>
    <xf numFmtId="3" fontId="8" fillId="0" borderId="12" xfId="0" applyNumberFormat="1" applyFont="1" applyBorder="1" applyAlignment="1" applyProtection="1">
      <alignment vertical="center" wrapText="1" readingOrder="1"/>
      <protection locked="0"/>
    </xf>
    <xf numFmtId="3" fontId="8" fillId="0" borderId="42" xfId="0" applyNumberFormat="1" applyFont="1" applyBorder="1" applyAlignment="1" applyProtection="1">
      <alignment vertical="center" wrapText="1" readingOrder="1"/>
      <protection locked="0"/>
    </xf>
    <xf numFmtId="3" fontId="19" fillId="0" borderId="31" xfId="0" applyNumberFormat="1" applyFont="1" applyBorder="1" applyAlignment="1">
      <alignment horizontal="right" vertical="center" wrapText="1" shrinkToFit="1"/>
    </xf>
    <xf numFmtId="3" fontId="19" fillId="3" borderId="31" xfId="0" applyNumberFormat="1" applyFont="1" applyFill="1" applyBorder="1" applyAlignment="1">
      <alignment horizontal="right" vertical="center" wrapText="1" shrinkToFit="1"/>
    </xf>
    <xf numFmtId="3" fontId="19" fillId="3" borderId="10" xfId="0" applyNumberFormat="1" applyFont="1" applyFill="1" applyBorder="1" applyAlignment="1">
      <alignment horizontal="right" vertical="center" wrapText="1" shrinkToFit="1"/>
    </xf>
    <xf numFmtId="3" fontId="8" fillId="0" borderId="34" xfId="0" applyNumberFormat="1" applyFont="1" applyBorder="1" applyAlignment="1" applyProtection="1">
      <alignment horizontal="center" vertical="center" wrapText="1" readingOrder="1"/>
      <protection locked="0"/>
    </xf>
    <xf numFmtId="3" fontId="25" fillId="17" borderId="24" xfId="0" applyNumberFormat="1" applyFont="1" applyFill="1" applyBorder="1" applyAlignment="1" applyProtection="1">
      <alignment vertical="center" wrapText="1" readingOrder="1"/>
      <protection locked="0"/>
    </xf>
    <xf numFmtId="9" fontId="25" fillId="17" borderId="2" xfId="0" applyNumberFormat="1" applyFont="1" applyFill="1" applyBorder="1" applyAlignment="1" applyProtection="1">
      <alignment horizontal="center" vertical="center" wrapText="1" readingOrder="1"/>
      <protection locked="0"/>
    </xf>
    <xf numFmtId="3" fontId="25" fillId="17" borderId="31" xfId="0" applyNumberFormat="1" applyFont="1" applyFill="1" applyBorder="1" applyAlignment="1" applyProtection="1">
      <alignment vertical="center" wrapText="1" readingOrder="1"/>
      <protection locked="0"/>
    </xf>
    <xf numFmtId="165" fontId="25" fillId="17" borderId="4" xfId="0" applyNumberFormat="1" applyFont="1" applyFill="1" applyBorder="1" applyAlignment="1" applyProtection="1">
      <alignment vertical="center" wrapText="1" readingOrder="1"/>
      <protection locked="0"/>
    </xf>
    <xf numFmtId="165" fontId="25" fillId="17" borderId="2" xfId="0" applyNumberFormat="1" applyFont="1" applyFill="1" applyBorder="1" applyAlignment="1" applyProtection="1">
      <alignment vertical="center" wrapText="1" readingOrder="1"/>
      <protection locked="0"/>
    </xf>
    <xf numFmtId="3" fontId="8" fillId="0" borderId="1" xfId="0" applyNumberFormat="1" applyFont="1" applyBorder="1" applyAlignment="1" applyProtection="1">
      <alignment horizontal="right" vertical="center" wrapText="1" readingOrder="1"/>
      <protection locked="0"/>
    </xf>
    <xf numFmtId="3" fontId="8" fillId="0" borderId="37" xfId="0" applyNumberFormat="1" applyFont="1" applyBorder="1" applyAlignment="1" applyProtection="1">
      <alignment vertical="center" wrapText="1" readingOrder="1"/>
      <protection locked="0"/>
    </xf>
    <xf numFmtId="3" fontId="8" fillId="0" borderId="10" xfId="0" applyNumberFormat="1" applyFont="1" applyBorder="1" applyAlignment="1" applyProtection="1">
      <alignment horizontal="right" vertical="center" wrapText="1" readingOrder="1"/>
      <protection locked="0"/>
    </xf>
    <xf numFmtId="3" fontId="8" fillId="0" borderId="4" xfId="0" applyNumberFormat="1" applyFont="1" applyBorder="1" applyAlignment="1" applyProtection="1">
      <alignment horizontal="right" vertical="center" wrapText="1" readingOrder="1"/>
      <protection locked="0"/>
    </xf>
    <xf numFmtId="3" fontId="8" fillId="0" borderId="2" xfId="0" applyNumberFormat="1" applyFont="1" applyBorder="1" applyAlignment="1" applyProtection="1">
      <alignment horizontal="right" vertical="center" wrapText="1" readingOrder="1"/>
      <protection locked="0"/>
    </xf>
    <xf numFmtId="3" fontId="22" fillId="0" borderId="30" xfId="0" applyNumberFormat="1" applyFont="1" applyBorder="1" applyAlignment="1">
      <alignment horizontal="center" vertical="center" wrapText="1" shrinkToFit="1"/>
    </xf>
    <xf numFmtId="49" fontId="22" fillId="3" borderId="9" xfId="0" applyNumberFormat="1" applyFont="1" applyFill="1" applyBorder="1" applyAlignment="1">
      <alignment vertical="center" wrapText="1" shrinkToFit="1"/>
    </xf>
    <xf numFmtId="49" fontId="22" fillId="0" borderId="10" xfId="0" applyNumberFormat="1" applyFont="1" applyBorder="1" applyAlignment="1">
      <alignment horizontal="left" vertical="center" wrapText="1" shrinkToFit="1"/>
    </xf>
    <xf numFmtId="3" fontId="22" fillId="0" borderId="56" xfId="0" applyNumberFormat="1" applyFont="1" applyBorder="1" applyAlignment="1">
      <alignment horizontal="right" vertical="center" wrapText="1" shrinkToFit="1"/>
    </xf>
    <xf numFmtId="3" fontId="22" fillId="0" borderId="17" xfId="0" applyNumberFormat="1" applyFont="1" applyBorder="1" applyAlignment="1">
      <alignment horizontal="right" vertical="center" wrapText="1" shrinkToFit="1"/>
    </xf>
    <xf numFmtId="3" fontId="22" fillId="0" borderId="64" xfId="0" applyNumberFormat="1" applyFont="1" applyBorder="1" applyAlignment="1">
      <alignment horizontal="right" vertical="center" wrapText="1" shrinkToFit="1"/>
    </xf>
    <xf numFmtId="49" fontId="22" fillId="3" borderId="48" xfId="0" applyNumberFormat="1" applyFont="1" applyFill="1" applyBorder="1" applyAlignment="1">
      <alignment vertical="center" wrapText="1" shrinkToFit="1"/>
    </xf>
    <xf numFmtId="49" fontId="22" fillId="0" borderId="49" xfId="0" applyNumberFormat="1" applyFont="1" applyBorder="1" applyAlignment="1">
      <alignment horizontal="left" vertical="center" wrapText="1" shrinkToFit="1"/>
    </xf>
    <xf numFmtId="3" fontId="22" fillId="0" borderId="60" xfId="0" applyNumberFormat="1" applyFont="1" applyBorder="1" applyAlignment="1">
      <alignment horizontal="right" vertical="center" wrapText="1" shrinkToFit="1"/>
    </xf>
    <xf numFmtId="3" fontId="22" fillId="0" borderId="49" xfId="0" applyNumberFormat="1" applyFont="1" applyBorder="1" applyAlignment="1">
      <alignment horizontal="center" vertical="center" wrapText="1" shrinkToFit="1"/>
    </xf>
    <xf numFmtId="3" fontId="22" fillId="0" borderId="50" xfId="0" applyNumberFormat="1" applyFont="1" applyBorder="1" applyAlignment="1">
      <alignment horizontal="right" vertical="center" wrapText="1" shrinkToFit="1"/>
    </xf>
    <xf numFmtId="3" fontId="18" fillId="4" borderId="38" xfId="0" applyNumberFormat="1" applyFont="1" applyFill="1" applyBorder="1"/>
    <xf numFmtId="3" fontId="18" fillId="4" borderId="39" xfId="0" applyNumberFormat="1" applyFont="1" applyFill="1" applyBorder="1" applyAlignment="1">
      <alignment horizontal="center"/>
    </xf>
    <xf numFmtId="3" fontId="18" fillId="4" borderId="7" xfId="0" applyNumberFormat="1" applyFont="1" applyFill="1" applyBorder="1"/>
    <xf numFmtId="3" fontId="19" fillId="3" borderId="0" xfId="0" applyNumberFormat="1" applyFont="1" applyFill="1" applyAlignment="1">
      <alignment vertical="center" wrapText="1" shrinkToFit="1"/>
    </xf>
    <xf numFmtId="3" fontId="22" fillId="0" borderId="1" xfId="0" applyNumberFormat="1" applyFont="1" applyBorder="1"/>
    <xf numFmtId="3" fontId="22" fillId="0" borderId="1" xfId="1" applyNumberFormat="1" applyFont="1" applyBorder="1" applyAlignment="1">
      <alignment horizontal="right"/>
      <protection locked="0"/>
    </xf>
    <xf numFmtId="3" fontId="8" fillId="0" borderId="7" xfId="0" applyNumberFormat="1" applyFont="1" applyBorder="1" applyAlignment="1" applyProtection="1">
      <alignment horizontal="right" vertical="center" wrapText="1" readingOrder="1"/>
      <protection locked="0"/>
    </xf>
    <xf numFmtId="3" fontId="8" fillId="0" borderId="6" xfId="0" applyNumberFormat="1" applyFont="1" applyBorder="1" applyAlignment="1" applyProtection="1">
      <alignment horizontal="center" vertical="center" wrapText="1" readingOrder="1"/>
      <protection locked="0"/>
    </xf>
    <xf numFmtId="3" fontId="8" fillId="0" borderId="20" xfId="0" applyNumberFormat="1" applyFont="1" applyBorder="1" applyAlignment="1" applyProtection="1">
      <alignment horizontal="right" vertical="center" wrapText="1" readingOrder="1"/>
      <protection locked="0"/>
    </xf>
    <xf numFmtId="3" fontId="21" fillId="12" borderId="28" xfId="1" applyNumberFormat="1" applyFont="1" applyFill="1" applyBorder="1" applyAlignment="1">
      <alignment horizontal="right"/>
      <protection locked="0"/>
    </xf>
    <xf numFmtId="3" fontId="21" fillId="12" borderId="7" xfId="1" applyNumberFormat="1" applyFont="1" applyFill="1" applyBorder="1" applyAlignment="1">
      <alignment horizontal="center"/>
      <protection locked="0"/>
    </xf>
    <xf numFmtId="3" fontId="21" fillId="12" borderId="39" xfId="1" applyNumberFormat="1" applyFont="1" applyFill="1" applyBorder="1" applyAlignment="1">
      <alignment horizontal="right"/>
      <protection locked="0"/>
    </xf>
    <xf numFmtId="3" fontId="21" fillId="12" borderId="7" xfId="1" applyNumberFormat="1" applyFont="1" applyFill="1" applyBorder="1" applyAlignment="1">
      <alignment horizontal="right"/>
      <protection locked="0"/>
    </xf>
    <xf numFmtId="0" fontId="8" fillId="0" borderId="65" xfId="0" applyFont="1" applyBorder="1" applyAlignment="1" applyProtection="1">
      <alignment vertical="center" wrapText="1" readingOrder="1"/>
      <protection locked="0"/>
    </xf>
    <xf numFmtId="0" fontId="19" fillId="0" borderId="22" xfId="0" applyFont="1" applyBorder="1" applyAlignment="1">
      <alignment horizontal="left" vertical="center" wrapText="1" shrinkToFit="1"/>
    </xf>
    <xf numFmtId="3" fontId="8" fillId="0" borderId="43" xfId="0" applyNumberFormat="1" applyFont="1" applyBorder="1" applyAlignment="1" applyProtection="1">
      <alignment horizontal="right" vertical="center" wrapText="1" readingOrder="1"/>
      <protection locked="0"/>
    </xf>
    <xf numFmtId="3" fontId="7" fillId="14" borderId="28" xfId="0" applyNumberFormat="1" applyFont="1" applyFill="1" applyBorder="1" applyAlignment="1" applyProtection="1">
      <alignment vertical="center" wrapText="1" readingOrder="1"/>
      <protection locked="0"/>
    </xf>
    <xf numFmtId="3" fontId="7" fillId="14" borderId="39" xfId="0" applyNumberFormat="1" applyFont="1" applyFill="1" applyBorder="1" applyAlignment="1" applyProtection="1">
      <alignment horizontal="right" vertical="center" wrapText="1" readingOrder="1"/>
      <protection locked="0"/>
    </xf>
    <xf numFmtId="3" fontId="22" fillId="0" borderId="37" xfId="0" applyNumberFormat="1" applyFont="1" applyBorder="1" applyAlignment="1">
      <alignment horizontal="right" vertical="center" wrapText="1" shrinkToFit="1"/>
    </xf>
    <xf numFmtId="3" fontId="23" fillId="11" borderId="54" xfId="0" applyNumberFormat="1" applyFont="1" applyFill="1" applyBorder="1" applyAlignment="1">
      <alignment horizontal="right" vertical="center" wrapText="1" shrinkToFit="1"/>
    </xf>
    <xf numFmtId="3" fontId="23" fillId="11" borderId="28" xfId="0" applyNumberFormat="1" applyFont="1" applyFill="1" applyBorder="1" applyAlignment="1">
      <alignment horizontal="right" vertical="center" wrapText="1" shrinkToFit="1"/>
    </xf>
    <xf numFmtId="3" fontId="23" fillId="11" borderId="39" xfId="0" applyNumberFormat="1" applyFont="1" applyFill="1" applyBorder="1" applyAlignment="1">
      <alignment horizontal="center" vertical="center" wrapText="1" shrinkToFit="1"/>
    </xf>
    <xf numFmtId="3" fontId="23" fillId="11" borderId="39" xfId="0" applyNumberFormat="1" applyFont="1" applyFill="1" applyBorder="1" applyAlignment="1">
      <alignment horizontal="right" vertical="center" wrapText="1" shrinkToFit="1"/>
    </xf>
    <xf numFmtId="3" fontId="23" fillId="11" borderId="7" xfId="0" applyNumberFormat="1" applyFont="1" applyFill="1" applyBorder="1" applyAlignment="1">
      <alignment horizontal="right" vertical="center" wrapText="1" shrinkToFit="1"/>
    </xf>
    <xf numFmtId="49" fontId="20" fillId="3" borderId="23" xfId="0" applyNumberFormat="1" applyFont="1" applyFill="1" applyBorder="1" applyAlignment="1">
      <alignment vertical="center" wrapText="1" shrinkToFit="1"/>
    </xf>
    <xf numFmtId="3" fontId="20" fillId="3" borderId="46" xfId="0" applyNumberFormat="1" applyFont="1" applyFill="1" applyBorder="1" applyAlignment="1">
      <alignment horizontal="right" vertical="center" wrapText="1" shrinkToFit="1"/>
    </xf>
    <xf numFmtId="3" fontId="20" fillId="3" borderId="24" xfId="0" applyNumberFormat="1" applyFont="1" applyFill="1" applyBorder="1" applyAlignment="1">
      <alignment vertical="center" wrapText="1" shrinkToFit="1"/>
    </xf>
    <xf numFmtId="49" fontId="24" fillId="0" borderId="48" xfId="1" applyNumberFormat="1" applyFont="1" applyBorder="1" applyAlignment="1">
      <alignment horizontal="right"/>
      <protection locked="0"/>
    </xf>
    <xf numFmtId="3" fontId="22" fillId="0" borderId="49" xfId="0" applyNumberFormat="1" applyFont="1" applyBorder="1"/>
    <xf numFmtId="3" fontId="22" fillId="0" borderId="41" xfId="0" applyNumberFormat="1" applyFont="1" applyBorder="1"/>
    <xf numFmtId="3" fontId="22" fillId="0" borderId="41" xfId="1" applyNumberFormat="1" applyFont="1" applyBorder="1" applyAlignment="1">
      <alignment horizontal="right"/>
      <protection locked="0"/>
    </xf>
    <xf numFmtId="3" fontId="20" fillId="3" borderId="1" xfId="0" applyNumberFormat="1" applyFont="1" applyFill="1" applyBorder="1" applyAlignment="1">
      <alignment vertical="center" wrapText="1" shrinkToFit="1"/>
    </xf>
    <xf numFmtId="3" fontId="18" fillId="4" borderId="28" xfId="0" applyNumberFormat="1" applyFont="1" applyFill="1" applyBorder="1"/>
    <xf numFmtId="3" fontId="28" fillId="0" borderId="0" xfId="0" applyNumberFormat="1" applyFont="1" applyAlignment="1" applyProtection="1">
      <alignment vertical="center" wrapText="1"/>
      <protection locked="0"/>
    </xf>
    <xf numFmtId="3" fontId="20" fillId="3" borderId="4" xfId="0" applyNumberFormat="1" applyFont="1" applyFill="1" applyBorder="1" applyAlignment="1">
      <alignment horizontal="right" vertical="center" wrapText="1" shrinkToFit="1"/>
    </xf>
    <xf numFmtId="3" fontId="19" fillId="3" borderId="46" xfId="0" applyNumberFormat="1" applyFont="1" applyFill="1" applyBorder="1" applyAlignment="1">
      <alignment horizontal="right" vertical="center" wrapText="1" shrinkToFit="1"/>
    </xf>
    <xf numFmtId="3" fontId="8" fillId="0" borderId="46" xfId="0" applyNumberFormat="1" applyFont="1" applyBorder="1" applyAlignment="1" applyProtection="1">
      <alignment vertical="center" wrapText="1" readingOrder="1"/>
      <protection locked="0"/>
    </xf>
    <xf numFmtId="3" fontId="8" fillId="0" borderId="41" xfId="0" applyNumberFormat="1" applyFont="1" applyBorder="1" applyAlignment="1" applyProtection="1">
      <alignment vertical="center" wrapText="1" readingOrder="1"/>
      <protection locked="0"/>
    </xf>
    <xf numFmtId="3" fontId="10" fillId="12" borderId="28" xfId="0" applyNumberFormat="1" applyFont="1" applyFill="1" applyBorder="1" applyAlignment="1" applyProtection="1">
      <alignment vertical="center" wrapText="1" readingOrder="1"/>
      <protection locked="0"/>
    </xf>
    <xf numFmtId="3" fontId="8" fillId="0" borderId="44" xfId="0" applyNumberFormat="1" applyFont="1" applyBorder="1" applyAlignment="1" applyProtection="1">
      <alignment horizontal="right" vertical="center" wrapText="1" readingOrder="1"/>
      <protection locked="0"/>
    </xf>
    <xf numFmtId="3" fontId="7" fillId="14" borderId="39" xfId="0" applyNumberFormat="1" applyFont="1" applyFill="1" applyBorder="1" applyAlignment="1" applyProtection="1">
      <alignment vertical="center" wrapText="1" readingOrder="1"/>
      <protection locked="0"/>
    </xf>
    <xf numFmtId="3" fontId="8" fillId="0" borderId="30" xfId="0" applyNumberFormat="1" applyFont="1" applyBorder="1" applyAlignment="1" applyProtection="1">
      <alignment horizontal="right" vertical="center" wrapText="1" readingOrder="1"/>
      <protection locked="0"/>
    </xf>
    <xf numFmtId="3" fontId="18" fillId="14" borderId="14" xfId="0" applyNumberFormat="1" applyFont="1" applyFill="1" applyBorder="1" applyAlignment="1">
      <alignment vertical="center" wrapText="1" readingOrder="1"/>
    </xf>
    <xf numFmtId="0" fontId="18" fillId="2" borderId="62" xfId="0" applyFont="1" applyFill="1" applyBorder="1" applyAlignment="1">
      <alignment horizontal="center" vertical="center" wrapText="1" shrinkToFit="1"/>
    </xf>
    <xf numFmtId="3" fontId="19" fillId="3" borderId="30" xfId="0" applyNumberFormat="1" applyFont="1" applyFill="1" applyBorder="1" applyAlignment="1">
      <alignment horizontal="right" vertical="center" wrapText="1" shrinkToFit="1"/>
    </xf>
    <xf numFmtId="3" fontId="20" fillId="3" borderId="30" xfId="0" applyNumberFormat="1" applyFont="1" applyFill="1" applyBorder="1" applyAlignment="1">
      <alignment horizontal="right" vertical="center" wrapText="1" shrinkToFit="1"/>
    </xf>
    <xf numFmtId="3" fontId="20" fillId="3" borderId="0" xfId="0" applyNumberFormat="1" applyFont="1" applyFill="1" applyAlignment="1">
      <alignment horizontal="right" vertical="center" wrapText="1" shrinkToFit="1"/>
    </xf>
    <xf numFmtId="3" fontId="20" fillId="3" borderId="49" xfId="0" applyNumberFormat="1" applyFont="1" applyFill="1" applyBorder="1" applyAlignment="1">
      <alignment horizontal="right" vertical="center" wrapText="1" shrinkToFit="1"/>
    </xf>
    <xf numFmtId="3" fontId="18" fillId="4" borderId="39" xfId="0" applyNumberFormat="1" applyFont="1" applyFill="1" applyBorder="1"/>
    <xf numFmtId="1" fontId="21" fillId="12" borderId="1" xfId="2" applyNumberFormat="1" applyFont="1" applyFill="1" applyBorder="1" applyAlignment="1">
      <alignment horizontal="center" vertical="center" wrapText="1"/>
      <protection locked="0"/>
    </xf>
    <xf numFmtId="3" fontId="21" fillId="0" borderId="63" xfId="1" applyNumberFormat="1" applyFont="1" applyBorder="1" applyAlignment="1">
      <alignment horizontal="right"/>
      <protection locked="0"/>
    </xf>
    <xf numFmtId="3" fontId="21" fillId="0" borderId="7" xfId="1" applyNumberFormat="1" applyFont="1" applyBorder="1" applyAlignment="1">
      <alignment horizontal="center"/>
      <protection locked="0"/>
    </xf>
    <xf numFmtId="3" fontId="21" fillId="0" borderId="36" xfId="1" applyNumberFormat="1" applyFont="1" applyBorder="1" applyAlignment="1">
      <alignment horizontal="right"/>
      <protection locked="0"/>
    </xf>
    <xf numFmtId="3" fontId="22" fillId="0" borderId="33" xfId="1" applyNumberFormat="1" applyFont="1" applyBorder="1" applyAlignment="1">
      <alignment horizontal="right"/>
      <protection locked="0"/>
    </xf>
    <xf numFmtId="3" fontId="21" fillId="0" borderId="10" xfId="1" applyNumberFormat="1" applyFont="1" applyBorder="1" applyAlignment="1">
      <alignment horizontal="center"/>
      <protection locked="0"/>
    </xf>
    <xf numFmtId="3" fontId="22" fillId="0" borderId="49" xfId="1" applyNumberFormat="1" applyFont="1" applyBorder="1" applyAlignment="1">
      <alignment horizontal="center"/>
      <protection locked="0"/>
    </xf>
    <xf numFmtId="3" fontId="22" fillId="0" borderId="57" xfId="0" applyNumberFormat="1" applyFont="1" applyBorder="1"/>
    <xf numFmtId="3" fontId="22" fillId="0" borderId="63" xfId="1" applyNumberFormat="1" applyFont="1" applyBorder="1" applyAlignment="1">
      <alignment horizontal="right"/>
      <protection locked="0"/>
    </xf>
    <xf numFmtId="3" fontId="22" fillId="0" borderId="6" xfId="0" applyNumberFormat="1" applyFont="1" applyBorder="1"/>
    <xf numFmtId="3" fontId="22" fillId="0" borderId="34" xfId="1" applyNumberFormat="1" applyFont="1" applyBorder="1">
      <protection locked="0"/>
    </xf>
    <xf numFmtId="49" fontId="24" fillId="0" borderId="5" xfId="1" applyNumberFormat="1" applyFont="1" applyBorder="1" applyAlignment="1">
      <alignment horizontal="right"/>
      <protection locked="0"/>
    </xf>
    <xf numFmtId="3" fontId="22" fillId="0" borderId="6" xfId="1" applyNumberFormat="1" applyFont="1" applyBorder="1" applyAlignment="1">
      <alignment horizontal="right"/>
      <protection locked="0"/>
    </xf>
    <xf numFmtId="3" fontId="22" fillId="0" borderId="20" xfId="1" applyNumberFormat="1" applyFont="1" applyBorder="1" applyAlignment="1">
      <alignment horizontal="right"/>
      <protection locked="0"/>
    </xf>
    <xf numFmtId="3" fontId="22" fillId="0" borderId="2" xfId="1" applyNumberFormat="1" applyFont="1" applyBorder="1" applyAlignment="1">
      <alignment horizontal="right"/>
      <protection locked="0"/>
    </xf>
    <xf numFmtId="3" fontId="22" fillId="0" borderId="45" xfId="2" applyNumberFormat="1" applyFont="1" applyFill="1" applyBorder="1" applyAlignment="1">
      <alignment horizontal="right" vertical="center"/>
      <protection locked="0"/>
    </xf>
    <xf numFmtId="3" fontId="22" fillId="0" borderId="31" xfId="2" applyNumberFormat="1" applyFont="1" applyFill="1" applyBorder="1" applyAlignment="1">
      <alignment horizontal="right"/>
      <protection locked="0"/>
    </xf>
    <xf numFmtId="3" fontId="22" fillId="0" borderId="31" xfId="2" applyNumberFormat="1" applyFont="1" applyFill="1" applyBorder="1" applyAlignment="1">
      <alignment horizontal="right" vertical="center"/>
      <protection locked="0"/>
    </xf>
    <xf numFmtId="3" fontId="22" fillId="0" borderId="31" xfId="2" applyNumberFormat="1" applyFont="1" applyBorder="1">
      <protection locked="0"/>
    </xf>
    <xf numFmtId="3" fontId="22" fillId="0" borderId="44" xfId="0" applyNumberFormat="1" applyFont="1" applyBorder="1" applyAlignment="1">
      <alignment horizontal="right" vertical="center" wrapText="1" shrinkToFit="1"/>
    </xf>
    <xf numFmtId="0" fontId="21" fillId="9" borderId="62" xfId="0" applyFont="1" applyFill="1" applyBorder="1" applyAlignment="1">
      <alignment horizontal="center" vertical="center" wrapText="1" shrinkToFit="1"/>
    </xf>
    <xf numFmtId="3" fontId="10" fillId="12" borderId="14" xfId="0" applyNumberFormat="1" applyFont="1" applyFill="1" applyBorder="1" applyAlignment="1" applyProtection="1">
      <alignment vertical="center" wrapText="1" readingOrder="1"/>
      <protection locked="0"/>
    </xf>
    <xf numFmtId="3" fontId="10" fillId="12" borderId="7" xfId="0" applyNumberFormat="1" applyFont="1" applyFill="1" applyBorder="1" applyAlignment="1" applyProtection="1">
      <alignment vertical="center" wrapText="1" readingOrder="1"/>
      <protection locked="0"/>
    </xf>
    <xf numFmtId="3" fontId="10" fillId="12" borderId="7" xfId="0" applyNumberFormat="1" applyFont="1" applyFill="1" applyBorder="1" applyAlignment="1" applyProtection="1">
      <alignment horizontal="center" vertical="center" wrapText="1" readingOrder="1"/>
      <protection locked="0"/>
    </xf>
    <xf numFmtId="3" fontId="8" fillId="0" borderId="56" xfId="0" applyNumberFormat="1" applyFont="1" applyBorder="1" applyAlignment="1" applyProtection="1">
      <alignment vertical="center" wrapText="1" readingOrder="1"/>
      <protection locked="0"/>
    </xf>
    <xf numFmtId="3" fontId="8" fillId="0" borderId="60" xfId="0" applyNumberFormat="1" applyFont="1" applyBorder="1" applyAlignment="1" applyProtection="1">
      <alignment vertical="center" wrapText="1" readingOrder="1"/>
      <protection locked="0"/>
    </xf>
    <xf numFmtId="3" fontId="10" fillId="12" borderId="39" xfId="0" applyNumberFormat="1" applyFont="1" applyFill="1" applyBorder="1" applyAlignment="1" applyProtection="1">
      <alignment vertical="center" wrapText="1" readingOrder="1"/>
      <protection locked="0"/>
    </xf>
    <xf numFmtId="3" fontId="10" fillId="12" borderId="63" xfId="0" applyNumberFormat="1" applyFont="1" applyFill="1" applyBorder="1" applyAlignment="1" applyProtection="1">
      <alignment vertical="center" wrapText="1" readingOrder="1"/>
      <protection locked="0"/>
    </xf>
    <xf numFmtId="3" fontId="3" fillId="12" borderId="28" xfId="0" applyNumberFormat="1" applyFont="1" applyFill="1" applyBorder="1"/>
    <xf numFmtId="3" fontId="3" fillId="12" borderId="39" xfId="0" applyNumberFormat="1" applyFont="1" applyFill="1" applyBorder="1" applyAlignment="1">
      <alignment horizontal="center"/>
    </xf>
    <xf numFmtId="3" fontId="3" fillId="12" borderId="14" xfId="0" applyNumberFormat="1" applyFont="1" applyFill="1" applyBorder="1"/>
    <xf numFmtId="3" fontId="3" fillId="12" borderId="39" xfId="0" applyNumberFormat="1" applyFont="1" applyFill="1" applyBorder="1"/>
    <xf numFmtId="0" fontId="25" fillId="17" borderId="34" xfId="0" applyFont="1" applyFill="1" applyBorder="1" applyAlignment="1" applyProtection="1">
      <alignment horizontal="left" vertical="center" wrapText="1" readingOrder="1"/>
      <protection locked="0"/>
    </xf>
    <xf numFmtId="0" fontId="25" fillId="17" borderId="55" xfId="0" applyFont="1" applyFill="1" applyBorder="1" applyAlignment="1" applyProtection="1">
      <alignment horizontal="left" vertical="center" wrapText="1" readingOrder="1"/>
      <protection locked="0"/>
    </xf>
    <xf numFmtId="0" fontId="25" fillId="17" borderId="29" xfId="0" applyFont="1" applyFill="1" applyBorder="1" applyAlignment="1" applyProtection="1">
      <alignment horizontal="left" vertical="center" wrapText="1" readingOrder="1"/>
      <protection locked="0"/>
    </xf>
    <xf numFmtId="3" fontId="22" fillId="0" borderId="4" xfId="0" applyNumberFormat="1" applyFont="1" applyBorder="1" applyAlignment="1">
      <alignment horizontal="right" vertical="center" wrapText="1" shrinkToFit="1"/>
    </xf>
    <xf numFmtId="3" fontId="22" fillId="0" borderId="2" xfId="2" applyNumberFormat="1" applyFont="1" applyFill="1" applyBorder="1" applyAlignment="1">
      <alignment horizontal="center"/>
      <protection locked="0"/>
    </xf>
    <xf numFmtId="3" fontId="22" fillId="0" borderId="4" xfId="2" applyNumberFormat="1" applyFont="1" applyFill="1" applyBorder="1" applyAlignment="1">
      <alignment horizontal="center"/>
      <protection locked="0"/>
    </xf>
    <xf numFmtId="3" fontId="22" fillId="0" borderId="10" xfId="2" applyNumberFormat="1" applyFont="1" applyFill="1" applyBorder="1" applyAlignment="1">
      <alignment horizontal="center"/>
      <protection locked="0"/>
    </xf>
    <xf numFmtId="3" fontId="22" fillId="0" borderId="31" xfId="2" applyNumberFormat="1" applyFont="1" applyFill="1" applyBorder="1" applyAlignment="1">
      <alignment horizontal="center"/>
      <protection locked="0"/>
    </xf>
    <xf numFmtId="3" fontId="22" fillId="0" borderId="46" xfId="2" applyNumberFormat="1" applyFont="1" applyFill="1" applyBorder="1" applyAlignment="1">
      <alignment horizontal="center"/>
      <protection locked="0"/>
    </xf>
    <xf numFmtId="3" fontId="22" fillId="0" borderId="45" xfId="2" applyNumberFormat="1" applyFont="1" applyFill="1" applyBorder="1" applyAlignment="1">
      <alignment horizontal="center"/>
      <protection locked="0"/>
    </xf>
    <xf numFmtId="3" fontId="22" fillId="0" borderId="4" xfId="0" applyNumberFormat="1" applyFont="1" applyBorder="1"/>
    <xf numFmtId="3" fontId="22" fillId="0" borderId="16" xfId="2" applyNumberFormat="1" applyFont="1" applyFill="1" applyBorder="1" applyAlignment="1">
      <alignment horizontal="right"/>
      <protection locked="0"/>
    </xf>
    <xf numFmtId="1" fontId="21" fillId="12" borderId="51" xfId="2" applyNumberFormat="1" applyFont="1" applyFill="1" applyBorder="1" applyAlignment="1">
      <alignment horizontal="center" vertical="center" wrapText="1"/>
      <protection locked="0"/>
    </xf>
    <xf numFmtId="1" fontId="21" fillId="12" borderId="62" xfId="2" applyNumberFormat="1" applyFont="1" applyFill="1" applyBorder="1" applyAlignment="1">
      <alignment horizontal="center" vertical="center" wrapText="1"/>
      <protection locked="0"/>
    </xf>
    <xf numFmtId="1" fontId="21" fillId="12" borderId="19" xfId="2" applyNumberFormat="1" applyFont="1" applyFill="1" applyBorder="1" applyAlignment="1">
      <alignment horizontal="center" vertical="center" wrapText="1"/>
      <protection locked="0"/>
    </xf>
    <xf numFmtId="3" fontId="21" fillId="0" borderId="38" xfId="2" applyNumberFormat="1" applyFont="1" applyFill="1" applyBorder="1" applyAlignment="1">
      <alignment horizontal="center"/>
      <protection locked="0"/>
    </xf>
    <xf numFmtId="49" fontId="22" fillId="0" borderId="3" xfId="2" applyNumberFormat="1" applyFont="1" applyFill="1" applyBorder="1" applyAlignment="1">
      <alignment horizontal="right"/>
      <protection locked="0"/>
    </xf>
    <xf numFmtId="0" fontId="8" fillId="0" borderId="32" xfId="0" applyFont="1" applyBorder="1" applyAlignment="1" applyProtection="1">
      <alignment vertical="center" wrapText="1" readingOrder="1"/>
      <protection locked="0"/>
    </xf>
    <xf numFmtId="0" fontId="8" fillId="0" borderId="46" xfId="0" applyFont="1" applyBorder="1" applyAlignment="1" applyProtection="1">
      <alignment horizontal="left" vertical="center" wrapText="1" readingOrder="1"/>
      <protection locked="0"/>
    </xf>
    <xf numFmtId="0" fontId="8" fillId="0" borderId="0" xfId="0" applyFont="1" applyAlignment="1" applyProtection="1">
      <alignment horizontal="left" vertical="center" wrapText="1" readingOrder="1"/>
      <protection locked="0"/>
    </xf>
    <xf numFmtId="0" fontId="8" fillId="0" borderId="44" xfId="0" applyFont="1" applyBorder="1" applyAlignment="1" applyProtection="1">
      <alignment horizontal="left" vertical="center" wrapText="1" readingOrder="1"/>
      <protection locked="0"/>
    </xf>
    <xf numFmtId="3" fontId="8" fillId="0" borderId="44" xfId="0" applyNumberFormat="1" applyFont="1" applyBorder="1" applyAlignment="1" applyProtection="1">
      <alignment horizontal="center" vertical="center" wrapText="1" readingOrder="1"/>
      <protection locked="0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2" fillId="13" borderId="18" xfId="0" applyFont="1" applyFill="1" applyBorder="1" applyAlignment="1">
      <alignment horizontal="center" wrapText="1"/>
    </xf>
    <xf numFmtId="0" fontId="22" fillId="13" borderId="1" xfId="0" applyFont="1" applyFill="1" applyBorder="1" applyAlignment="1">
      <alignment horizontal="center" wrapText="1"/>
    </xf>
    <xf numFmtId="1" fontId="22" fillId="12" borderId="67" xfId="2" applyNumberFormat="1" applyFont="1" applyFill="1" applyBorder="1" applyAlignment="1">
      <alignment horizontal="center" vertical="center" wrapText="1"/>
      <protection locked="0"/>
    </xf>
    <xf numFmtId="0" fontId="22" fillId="12" borderId="37" xfId="0" applyFont="1" applyFill="1" applyBorder="1" applyAlignment="1">
      <alignment horizontal="center" vertical="center" wrapText="1"/>
    </xf>
    <xf numFmtId="49" fontId="21" fillId="13" borderId="26" xfId="0" applyNumberFormat="1" applyFont="1" applyFill="1" applyBorder="1"/>
    <xf numFmtId="49" fontId="22" fillId="13" borderId="39" xfId="0" applyNumberFormat="1" applyFont="1" applyFill="1" applyBorder="1"/>
    <xf numFmtId="3" fontId="21" fillId="12" borderId="26" xfId="0" applyNumberFormat="1" applyFont="1" applyFill="1" applyBorder="1"/>
    <xf numFmtId="0" fontId="22" fillId="12" borderId="39" xfId="0" applyFont="1" applyFill="1" applyBorder="1"/>
    <xf numFmtId="0" fontId="21" fillId="0" borderId="0" xfId="0" applyFont="1" applyAlignment="1">
      <alignment horizontal="center"/>
    </xf>
    <xf numFmtId="0" fontId="21" fillId="13" borderId="40" xfId="0" applyFont="1" applyFill="1" applyBorder="1" applyAlignment="1">
      <alignment horizontal="center" vertical="center"/>
    </xf>
    <xf numFmtId="0" fontId="22" fillId="13" borderId="35" xfId="0" applyFont="1" applyFill="1" applyBorder="1"/>
    <xf numFmtId="0" fontId="21" fillId="12" borderId="40" xfId="0" applyFont="1" applyFill="1" applyBorder="1" applyAlignment="1">
      <alignment horizontal="center" vertical="center"/>
    </xf>
    <xf numFmtId="0" fontId="22" fillId="12" borderId="35" xfId="0" applyFont="1" applyFill="1" applyBorder="1" applyAlignment="1">
      <alignment horizontal="center" vertical="center"/>
    </xf>
    <xf numFmtId="0" fontId="22" fillId="12" borderId="36" xfId="0" applyFont="1" applyFill="1" applyBorder="1" applyAlignment="1">
      <alignment horizontal="center" vertical="center"/>
    </xf>
    <xf numFmtId="49" fontId="19" fillId="3" borderId="5" xfId="0" applyNumberFormat="1" applyFont="1" applyFill="1" applyBorder="1" applyAlignment="1">
      <alignment horizontal="left" vertical="center" wrapText="1" shrinkToFit="1"/>
    </xf>
    <xf numFmtId="0" fontId="19" fillId="0" borderId="22" xfId="0" applyFont="1" applyBorder="1" applyAlignment="1">
      <alignment horizontal="left" vertical="center" wrapText="1" shrinkToFit="1"/>
    </xf>
    <xf numFmtId="0" fontId="18" fillId="4" borderId="14" xfId="0" applyFont="1" applyFill="1" applyBorder="1" applyAlignment="1">
      <alignment horizontal="center"/>
    </xf>
    <xf numFmtId="0" fontId="18" fillId="4" borderId="7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21" fillId="15" borderId="52" xfId="0" applyFont="1" applyFill="1" applyBorder="1" applyAlignment="1">
      <alignment horizontal="center"/>
    </xf>
    <xf numFmtId="0" fontId="21" fillId="15" borderId="53" xfId="0" applyFont="1" applyFill="1" applyBorder="1" applyAlignment="1">
      <alignment horizontal="center"/>
    </xf>
    <xf numFmtId="0" fontId="21" fillId="15" borderId="54" xfId="0" applyFont="1" applyFill="1" applyBorder="1" applyAlignment="1">
      <alignment horizontal="center"/>
    </xf>
    <xf numFmtId="0" fontId="18" fillId="2" borderId="11" xfId="0" applyFont="1" applyFill="1" applyBorder="1" applyAlignment="1">
      <alignment horizontal="center" vertical="center" wrapText="1" shrinkToFit="1"/>
    </xf>
    <xf numFmtId="0" fontId="18" fillId="2" borderId="18" xfId="0" applyFont="1" applyFill="1" applyBorder="1" applyAlignment="1">
      <alignment horizontal="center" vertical="center" wrapText="1" shrinkToFit="1"/>
    </xf>
    <xf numFmtId="0" fontId="18" fillId="2" borderId="2" xfId="0" applyFont="1" applyFill="1" applyBorder="1" applyAlignment="1">
      <alignment horizontal="center" vertical="center" wrapText="1" shrinkToFit="1"/>
    </xf>
    <xf numFmtId="0" fontId="18" fillId="2" borderId="1" xfId="0" applyFont="1" applyFill="1" applyBorder="1" applyAlignment="1">
      <alignment horizontal="center" vertical="center" wrapText="1" shrinkToFit="1"/>
    </xf>
    <xf numFmtId="0" fontId="18" fillId="2" borderId="34" xfId="0" applyFont="1" applyFill="1" applyBorder="1" applyAlignment="1">
      <alignment horizontal="center" vertical="center" wrapText="1" shrinkToFit="1"/>
    </xf>
    <xf numFmtId="0" fontId="18" fillId="2" borderId="55" xfId="0" applyFont="1" applyFill="1" applyBorder="1" applyAlignment="1">
      <alignment horizontal="center" vertical="center" wrapText="1" shrinkToFit="1"/>
    </xf>
    <xf numFmtId="0" fontId="18" fillId="2" borderId="66" xfId="0" applyFont="1" applyFill="1" applyBorder="1" applyAlignment="1">
      <alignment horizontal="center" vertical="center" wrapText="1" shrinkToFit="1"/>
    </xf>
    <xf numFmtId="0" fontId="18" fillId="5" borderId="40" xfId="0" applyFont="1" applyFill="1" applyBorder="1" applyAlignment="1">
      <alignment horizontal="center"/>
    </xf>
    <xf numFmtId="0" fontId="18" fillId="5" borderId="35" xfId="0" applyFont="1" applyFill="1" applyBorder="1" applyAlignment="1">
      <alignment horizontal="center"/>
    </xf>
    <xf numFmtId="0" fontId="18" fillId="5" borderId="36" xfId="0" applyFont="1" applyFill="1" applyBorder="1" applyAlignment="1">
      <alignment horizontal="center"/>
    </xf>
    <xf numFmtId="0" fontId="18" fillId="5" borderId="9" xfId="0" applyFont="1" applyFill="1" applyBorder="1" applyAlignment="1">
      <alignment horizontal="center"/>
    </xf>
    <xf numFmtId="0" fontId="18" fillId="5" borderId="10" xfId="0" applyFont="1" applyFill="1" applyBorder="1" applyAlignment="1">
      <alignment horizontal="center"/>
    </xf>
    <xf numFmtId="0" fontId="18" fillId="5" borderId="17" xfId="0" applyFont="1" applyFill="1" applyBorder="1" applyAlignment="1">
      <alignment horizontal="center"/>
    </xf>
    <xf numFmtId="0" fontId="21" fillId="15" borderId="0" xfId="0" applyFont="1" applyFill="1" applyAlignment="1">
      <alignment horizontal="center"/>
    </xf>
    <xf numFmtId="49" fontId="23" fillId="11" borderId="14" xfId="0" applyNumberFormat="1" applyFont="1" applyFill="1" applyBorder="1" applyAlignment="1">
      <alignment horizontal="center" vertical="center" wrapText="1" shrinkToFit="1"/>
    </xf>
    <xf numFmtId="49" fontId="23" fillId="11" borderId="7" xfId="0" applyNumberFormat="1" applyFont="1" applyFill="1" applyBorder="1" applyAlignment="1">
      <alignment horizontal="center" vertical="center" wrapText="1" shrinkToFit="1"/>
    </xf>
    <xf numFmtId="49" fontId="21" fillId="10" borderId="14" xfId="0" applyNumberFormat="1" applyFont="1" applyFill="1" applyBorder="1" applyAlignment="1">
      <alignment horizontal="center" vertical="center" wrapText="1" shrinkToFit="1"/>
    </xf>
    <xf numFmtId="49" fontId="21" fillId="10" borderId="7" xfId="0" applyNumberFormat="1" applyFont="1" applyFill="1" applyBorder="1" applyAlignment="1">
      <alignment horizontal="center" vertical="center" wrapText="1" shrinkToFit="1"/>
    </xf>
    <xf numFmtId="0" fontId="21" fillId="11" borderId="21" xfId="0" applyFont="1" applyFill="1" applyBorder="1" applyAlignment="1">
      <alignment horizontal="center"/>
    </xf>
    <xf numFmtId="0" fontId="21" fillId="11" borderId="12" xfId="0" applyFont="1" applyFill="1" applyBorder="1" applyAlignment="1">
      <alignment horizontal="center"/>
    </xf>
    <xf numFmtId="0" fontId="21" fillId="11" borderId="13" xfId="0" applyFont="1" applyFill="1" applyBorder="1" applyAlignment="1">
      <alignment horizontal="center"/>
    </xf>
    <xf numFmtId="0" fontId="21" fillId="9" borderId="9" xfId="0" applyFont="1" applyFill="1" applyBorder="1" applyAlignment="1">
      <alignment horizontal="center" vertical="center" wrapText="1" shrinkToFit="1"/>
    </xf>
    <xf numFmtId="0" fontId="21" fillId="9" borderId="18" xfId="0" applyFont="1" applyFill="1" applyBorder="1" applyAlignment="1">
      <alignment horizontal="center" vertical="center" wrapText="1" shrinkToFit="1"/>
    </xf>
    <xf numFmtId="0" fontId="21" fillId="9" borderId="10" xfId="0" applyFont="1" applyFill="1" applyBorder="1" applyAlignment="1">
      <alignment horizontal="center" vertical="center" wrapText="1" shrinkToFit="1"/>
    </xf>
    <xf numFmtId="0" fontId="21" fillId="9" borderId="1" xfId="0" applyFont="1" applyFill="1" applyBorder="1" applyAlignment="1">
      <alignment horizontal="center" vertical="center" wrapText="1" shrinkToFit="1"/>
    </xf>
    <xf numFmtId="0" fontId="21" fillId="9" borderId="45" xfId="0" applyFont="1" applyFill="1" applyBorder="1" applyAlignment="1">
      <alignment horizontal="center" vertical="center" wrapText="1" shrinkToFit="1"/>
    </xf>
    <xf numFmtId="0" fontId="21" fillId="9" borderId="35" xfId="0" applyFont="1" applyFill="1" applyBorder="1" applyAlignment="1">
      <alignment horizontal="center" vertical="center" wrapText="1" shrinkToFit="1"/>
    </xf>
    <xf numFmtId="0" fontId="21" fillId="9" borderId="36" xfId="0" applyFont="1" applyFill="1" applyBorder="1" applyAlignment="1">
      <alignment horizontal="center" vertical="center" wrapText="1" shrinkToFit="1"/>
    </xf>
    <xf numFmtId="0" fontId="7" fillId="12" borderId="48" xfId="0" applyFont="1" applyFill="1" applyBorder="1" applyAlignment="1" applyProtection="1">
      <alignment horizontal="center" vertical="center" wrapText="1" readingOrder="1"/>
      <protection locked="0"/>
    </xf>
    <xf numFmtId="0" fontId="7" fillId="12" borderId="49" xfId="0" applyFont="1" applyFill="1" applyBorder="1" applyAlignment="1" applyProtection="1">
      <alignment horizontal="center" vertical="center" wrapText="1" readingOrder="1"/>
      <protection locked="0"/>
    </xf>
    <xf numFmtId="0" fontId="7" fillId="14" borderId="26" xfId="0" applyFont="1" applyFill="1" applyBorder="1" applyAlignment="1" applyProtection="1">
      <alignment vertical="center" wrapText="1" readingOrder="1"/>
      <protection locked="0"/>
    </xf>
    <xf numFmtId="0" fontId="3" fillId="14" borderId="39" xfId="0" applyFont="1" applyFill="1" applyBorder="1" applyAlignment="1">
      <alignment vertical="center" wrapText="1" readingOrder="1"/>
    </xf>
    <xf numFmtId="0" fontId="7" fillId="12" borderId="2" xfId="0" applyFont="1" applyFill="1" applyBorder="1" applyAlignment="1" applyProtection="1">
      <alignment horizontal="center" vertical="center" wrapText="1" readingOrder="1"/>
      <protection locked="0"/>
    </xf>
    <xf numFmtId="0" fontId="7" fillId="12" borderId="1" xfId="0" applyFont="1" applyFill="1" applyBorder="1" applyAlignment="1" applyProtection="1">
      <alignment horizontal="center" vertical="center" wrapText="1" readingOrder="1"/>
      <protection locked="0"/>
    </xf>
    <xf numFmtId="0" fontId="3" fillId="14" borderId="28" xfId="0" applyFont="1" applyFill="1" applyBorder="1" applyAlignment="1">
      <alignment vertical="center" wrapText="1" readingOrder="1"/>
    </xf>
    <xf numFmtId="0" fontId="7" fillId="12" borderId="34" xfId="0" applyFont="1" applyFill="1" applyBorder="1" applyAlignment="1" applyProtection="1">
      <alignment horizontal="center" vertical="center" wrapText="1" readingOrder="1"/>
      <protection locked="0"/>
    </xf>
    <xf numFmtId="0" fontId="7" fillId="12" borderId="55" xfId="0" applyFont="1" applyFill="1" applyBorder="1" applyAlignment="1" applyProtection="1">
      <alignment horizontal="center" vertical="center" wrapText="1" readingOrder="1"/>
      <protection locked="0"/>
    </xf>
    <xf numFmtId="0" fontId="7" fillId="12" borderId="66" xfId="0" applyFont="1" applyFill="1" applyBorder="1" applyAlignment="1" applyProtection="1">
      <alignment horizontal="center" vertical="center" wrapText="1" readingOrder="1"/>
      <protection locked="0"/>
    </xf>
    <xf numFmtId="0" fontId="21" fillId="7" borderId="0" xfId="0" applyFont="1" applyFill="1" applyAlignment="1">
      <alignment horizontal="center"/>
    </xf>
    <xf numFmtId="0" fontId="7" fillId="6" borderId="9" xfId="0" applyFont="1" applyFill="1" applyBorder="1" applyAlignment="1" applyProtection="1">
      <alignment horizontal="center" wrapText="1" readingOrder="1"/>
      <protection locked="0"/>
    </xf>
    <xf numFmtId="0" fontId="7" fillId="6" borderId="10" xfId="0" applyFont="1" applyFill="1" applyBorder="1" applyAlignment="1" applyProtection="1">
      <alignment horizontal="center" wrapText="1" readingOrder="1"/>
      <protection locked="0"/>
    </xf>
    <xf numFmtId="0" fontId="7" fillId="6" borderId="17" xfId="0" applyFont="1" applyFill="1" applyBorder="1" applyAlignment="1" applyProtection="1">
      <alignment horizontal="center" wrapText="1" readingOrder="1"/>
      <protection locked="0"/>
    </xf>
    <xf numFmtId="0" fontId="7" fillId="12" borderId="11" xfId="0" applyFont="1" applyFill="1" applyBorder="1" applyAlignment="1" applyProtection="1">
      <alignment horizontal="center" vertical="center" wrapText="1" readingOrder="1"/>
      <protection locked="0"/>
    </xf>
    <xf numFmtId="0" fontId="7" fillId="12" borderId="18" xfId="0" applyFont="1" applyFill="1" applyBorder="1" applyAlignment="1" applyProtection="1">
      <alignment horizontal="center" vertical="center" wrapText="1" readingOrder="1"/>
      <protection locked="0"/>
    </xf>
    <xf numFmtId="0" fontId="7" fillId="12" borderId="14" xfId="0" applyFont="1" applyFill="1" applyBorder="1" applyAlignment="1" applyProtection="1">
      <alignment horizontal="center" vertical="center" wrapText="1" readingOrder="1"/>
      <protection locked="0"/>
    </xf>
    <xf numFmtId="0" fontId="7" fillId="12" borderId="38" xfId="0" applyFont="1" applyFill="1" applyBorder="1" applyAlignment="1" applyProtection="1">
      <alignment horizontal="center" vertical="center" wrapText="1" readingOrder="1"/>
      <protection locked="0"/>
    </xf>
    <xf numFmtId="0" fontId="7" fillId="12" borderId="9" xfId="0" applyFont="1" applyFill="1" applyBorder="1" applyAlignment="1" applyProtection="1">
      <alignment horizontal="center" vertical="center" wrapText="1" readingOrder="1"/>
      <protection locked="0"/>
    </xf>
    <xf numFmtId="0" fontId="7" fillId="12" borderId="10" xfId="0" applyFont="1" applyFill="1" applyBorder="1" applyAlignment="1" applyProtection="1">
      <alignment horizontal="center" vertical="center" wrapText="1" readingOrder="1"/>
      <protection locked="0"/>
    </xf>
    <xf numFmtId="0" fontId="7" fillId="6" borderId="26" xfId="0" applyFont="1" applyFill="1" applyBorder="1" applyAlignment="1" applyProtection="1">
      <alignment horizontal="center" wrapText="1" readingOrder="1"/>
      <protection locked="0"/>
    </xf>
    <xf numFmtId="0" fontId="7" fillId="6" borderId="27" xfId="0" applyFont="1" applyFill="1" applyBorder="1" applyAlignment="1" applyProtection="1">
      <alignment horizontal="center" wrapText="1" readingOrder="1"/>
      <protection locked="0"/>
    </xf>
    <xf numFmtId="0" fontId="7" fillId="6" borderId="28" xfId="0" applyFont="1" applyFill="1" applyBorder="1" applyAlignment="1" applyProtection="1">
      <alignment horizontal="center" wrapText="1" readingOrder="1"/>
      <protection locked="0"/>
    </xf>
    <xf numFmtId="0" fontId="12" fillId="17" borderId="0" xfId="0" applyFont="1" applyFill="1" applyAlignment="1">
      <alignment horizontal="right"/>
    </xf>
    <xf numFmtId="49" fontId="7" fillId="14" borderId="26" xfId="0" applyNumberFormat="1" applyFont="1" applyFill="1" applyBorder="1" applyAlignment="1" applyProtection="1">
      <alignment vertical="center" wrapText="1" readingOrder="1"/>
      <protection locked="0"/>
    </xf>
    <xf numFmtId="0" fontId="8" fillId="0" borderId="34" xfId="0" applyFont="1" applyBorder="1" applyAlignment="1" applyProtection="1">
      <alignment horizontal="left" vertical="center" wrapText="1" readingOrder="1"/>
      <protection locked="0"/>
    </xf>
    <xf numFmtId="0" fontId="8" fillId="0" borderId="55" xfId="0" applyFont="1" applyBorder="1" applyAlignment="1" applyProtection="1">
      <alignment horizontal="left" vertical="center" wrapText="1" readingOrder="1"/>
      <protection locked="0"/>
    </xf>
    <xf numFmtId="0" fontId="8" fillId="0" borderId="29" xfId="0" applyFont="1" applyBorder="1" applyAlignment="1" applyProtection="1">
      <alignment horizontal="left" vertical="center" wrapText="1" readingOrder="1"/>
      <protection locked="0"/>
    </xf>
    <xf numFmtId="0" fontId="25" fillId="17" borderId="45" xfId="0" applyFont="1" applyFill="1" applyBorder="1" applyAlignment="1" applyProtection="1">
      <alignment horizontal="left" vertical="center" wrapText="1" readingOrder="1"/>
      <protection locked="0"/>
    </xf>
    <xf numFmtId="0" fontId="25" fillId="17" borderId="35" xfId="0" applyFont="1" applyFill="1" applyBorder="1" applyAlignment="1" applyProtection="1">
      <alignment horizontal="left" vertical="center" wrapText="1" readingOrder="1"/>
      <protection locked="0"/>
    </xf>
    <xf numFmtId="0" fontId="25" fillId="17" borderId="56" xfId="0" applyFont="1" applyFill="1" applyBorder="1" applyAlignment="1" applyProtection="1">
      <alignment horizontal="left" vertical="center" wrapText="1" readingOrder="1"/>
      <protection locked="0"/>
    </xf>
    <xf numFmtId="0" fontId="7" fillId="12" borderId="42" xfId="0" applyFont="1" applyFill="1" applyBorder="1" applyAlignment="1" applyProtection="1">
      <alignment horizontal="center" vertical="center" wrapText="1" readingOrder="1"/>
      <protection locked="0"/>
    </xf>
    <xf numFmtId="0" fontId="7" fillId="12" borderId="59" xfId="0" applyFont="1" applyFill="1" applyBorder="1" applyAlignment="1" applyProtection="1">
      <alignment horizontal="center" vertical="center" wrapText="1" readingOrder="1"/>
      <protection locked="0"/>
    </xf>
    <xf numFmtId="0" fontId="7" fillId="12" borderId="43" xfId="0" applyFont="1" applyFill="1" applyBorder="1" applyAlignment="1" applyProtection="1">
      <alignment horizontal="center" vertical="center" wrapText="1" readingOrder="1"/>
      <protection locked="0"/>
    </xf>
    <xf numFmtId="0" fontId="7" fillId="12" borderId="41" xfId="0" applyFont="1" applyFill="1" applyBorder="1" applyAlignment="1" applyProtection="1">
      <alignment horizontal="center" vertical="center" wrapText="1" readingOrder="1"/>
      <protection locked="0"/>
    </xf>
    <xf numFmtId="0" fontId="7" fillId="12" borderId="57" xfId="0" applyFont="1" applyFill="1" applyBorder="1" applyAlignment="1" applyProtection="1">
      <alignment horizontal="center" vertical="center" wrapText="1" readingOrder="1"/>
      <protection locked="0"/>
    </xf>
    <xf numFmtId="0" fontId="7" fillId="12" borderId="60" xfId="0" applyFont="1" applyFill="1" applyBorder="1" applyAlignment="1" applyProtection="1">
      <alignment horizontal="center" vertical="center" wrapText="1" readingOrder="1"/>
      <protection locked="0"/>
    </xf>
    <xf numFmtId="0" fontId="8" fillId="0" borderId="34" xfId="0" applyFont="1" applyBorder="1" applyAlignment="1" applyProtection="1">
      <alignment horizontal="left" wrapText="1" readingOrder="1"/>
      <protection locked="0"/>
    </xf>
    <xf numFmtId="0" fontId="8" fillId="0" borderId="55" xfId="0" applyFont="1" applyBorder="1" applyAlignment="1" applyProtection="1">
      <alignment horizontal="left" wrapText="1" readingOrder="1"/>
      <protection locked="0"/>
    </xf>
    <xf numFmtId="0" fontId="8" fillId="0" borderId="29" xfId="0" applyFont="1" applyBorder="1" applyAlignment="1" applyProtection="1">
      <alignment horizontal="left" wrapText="1" readingOrder="1"/>
      <protection locked="0"/>
    </xf>
    <xf numFmtId="0" fontId="25" fillId="17" borderId="34" xfId="0" applyFont="1" applyFill="1" applyBorder="1" applyAlignment="1" applyProtection="1">
      <alignment horizontal="left" vertical="center" wrapText="1" readingOrder="1"/>
      <protection locked="0"/>
    </xf>
    <xf numFmtId="0" fontId="25" fillId="17" borderId="55" xfId="0" applyFont="1" applyFill="1" applyBorder="1" applyAlignment="1" applyProtection="1">
      <alignment horizontal="left" vertical="center" wrapText="1" readingOrder="1"/>
      <protection locked="0"/>
    </xf>
    <xf numFmtId="0" fontId="25" fillId="17" borderId="29" xfId="0" applyFont="1" applyFill="1" applyBorder="1" applyAlignment="1" applyProtection="1">
      <alignment horizontal="left" vertical="center" wrapText="1" readingOrder="1"/>
      <protection locked="0"/>
    </xf>
    <xf numFmtId="49" fontId="25" fillId="17" borderId="41" xfId="0" applyNumberFormat="1" applyFont="1" applyFill="1" applyBorder="1" applyAlignment="1" applyProtection="1">
      <alignment horizontal="left" vertical="center" wrapText="1" readingOrder="1"/>
      <protection locked="0"/>
    </xf>
    <xf numFmtId="49" fontId="25" fillId="17" borderId="57" xfId="0" applyNumberFormat="1" applyFont="1" applyFill="1" applyBorder="1" applyAlignment="1" applyProtection="1">
      <alignment horizontal="left" vertical="center" wrapText="1" readingOrder="1"/>
      <protection locked="0"/>
    </xf>
    <xf numFmtId="49" fontId="25" fillId="17" borderId="60" xfId="0" applyNumberFormat="1" applyFont="1" applyFill="1" applyBorder="1" applyAlignment="1" applyProtection="1">
      <alignment horizontal="left" vertical="center" wrapText="1" readingOrder="1"/>
      <protection locked="0"/>
    </xf>
    <xf numFmtId="49" fontId="7" fillId="14" borderId="58" xfId="0" applyNumberFormat="1" applyFont="1" applyFill="1" applyBorder="1" applyAlignment="1" applyProtection="1">
      <alignment vertical="center" wrapText="1" readingOrder="1"/>
      <protection locked="0"/>
    </xf>
    <xf numFmtId="0" fontId="3" fillId="14" borderId="63" xfId="0" applyFont="1" applyFill="1" applyBorder="1" applyAlignment="1">
      <alignment vertical="center" wrapText="1" readingOrder="1"/>
    </xf>
    <xf numFmtId="0" fontId="25" fillId="17" borderId="41" xfId="0" applyFont="1" applyFill="1" applyBorder="1" applyAlignment="1" applyProtection="1">
      <alignment horizontal="left" vertical="center" wrapText="1" readingOrder="1"/>
      <protection locked="0"/>
    </xf>
    <xf numFmtId="0" fontId="25" fillId="17" borderId="57" xfId="0" applyFont="1" applyFill="1" applyBorder="1" applyAlignment="1" applyProtection="1">
      <alignment horizontal="left" vertical="center" wrapText="1" readingOrder="1"/>
      <protection locked="0"/>
    </xf>
    <xf numFmtId="0" fontId="25" fillId="17" borderId="60" xfId="0" applyFont="1" applyFill="1" applyBorder="1" applyAlignment="1" applyProtection="1">
      <alignment horizontal="left" vertical="center" wrapText="1" readingOrder="1"/>
      <protection locked="0"/>
    </xf>
    <xf numFmtId="0" fontId="25" fillId="17" borderId="2" xfId="0" applyFont="1" applyFill="1" applyBorder="1" applyAlignment="1" applyProtection="1">
      <alignment horizontal="left" vertical="center" wrapText="1" readingOrder="1"/>
      <protection locked="0"/>
    </xf>
    <xf numFmtId="49" fontId="8" fillId="0" borderId="2" xfId="0" applyNumberFormat="1" applyFont="1" applyBorder="1" applyAlignment="1" applyProtection="1">
      <alignment horizontal="left" vertical="center" wrapText="1" readingOrder="1"/>
      <protection locked="0"/>
    </xf>
    <xf numFmtId="0" fontId="8" fillId="0" borderId="2" xfId="0" applyFont="1" applyBorder="1" applyAlignment="1" applyProtection="1">
      <alignment horizontal="left" vertical="center" wrapText="1" readingOrder="1"/>
      <protection locked="0"/>
    </xf>
    <xf numFmtId="0" fontId="25" fillId="17" borderId="31" xfId="0" applyFont="1" applyFill="1" applyBorder="1" applyAlignment="1" applyProtection="1">
      <alignment horizontal="left" vertical="center" wrapText="1" readingOrder="1"/>
      <protection locked="0"/>
    </xf>
    <xf numFmtId="0" fontId="25" fillId="17" borderId="61" xfId="0" applyFont="1" applyFill="1" applyBorder="1" applyAlignment="1" applyProtection="1">
      <alignment horizontal="left" vertical="center" wrapText="1" readingOrder="1"/>
      <protection locked="0"/>
    </xf>
    <xf numFmtId="0" fontId="25" fillId="17" borderId="30" xfId="0" applyFont="1" applyFill="1" applyBorder="1" applyAlignment="1" applyProtection="1">
      <alignment horizontal="left" vertical="center" wrapText="1" readingOrder="1"/>
      <protection locked="0"/>
    </xf>
    <xf numFmtId="3" fontId="25" fillId="17" borderId="34" xfId="0" applyNumberFormat="1" applyFont="1" applyFill="1" applyBorder="1" applyAlignment="1" applyProtection="1">
      <alignment horizontal="center" vertical="center" wrapText="1" readingOrder="1"/>
      <protection locked="0"/>
    </xf>
    <xf numFmtId="3" fontId="25" fillId="17" borderId="29" xfId="0" applyNumberFormat="1" applyFont="1" applyFill="1" applyBorder="1" applyAlignment="1" applyProtection="1">
      <alignment horizontal="center" vertical="center" wrapText="1" readingOrder="1"/>
      <protection locked="0"/>
    </xf>
    <xf numFmtId="49" fontId="25" fillId="17" borderId="34" xfId="0" applyNumberFormat="1" applyFont="1" applyFill="1" applyBorder="1" applyAlignment="1" applyProtection="1">
      <alignment horizontal="left" vertical="center" wrapText="1" readingOrder="1"/>
      <protection locked="0"/>
    </xf>
    <xf numFmtId="49" fontId="25" fillId="17" borderId="55" xfId="0" applyNumberFormat="1" applyFont="1" applyFill="1" applyBorder="1" applyAlignment="1" applyProtection="1">
      <alignment horizontal="left" vertical="center" wrapText="1" readingOrder="1"/>
      <protection locked="0"/>
    </xf>
    <xf numFmtId="49" fontId="25" fillId="17" borderId="29" xfId="0" applyNumberFormat="1" applyFont="1" applyFill="1" applyBorder="1" applyAlignment="1" applyProtection="1">
      <alignment horizontal="left" vertical="center" wrapText="1" readingOrder="1"/>
      <protection locked="0"/>
    </xf>
    <xf numFmtId="3" fontId="8" fillId="0" borderId="34" xfId="0" applyNumberFormat="1" applyFont="1" applyBorder="1" applyAlignment="1" applyProtection="1">
      <alignment horizontal="center" vertical="center" wrapText="1" readingOrder="1"/>
      <protection locked="0"/>
    </xf>
    <xf numFmtId="3" fontId="8" fillId="0" borderId="29" xfId="0" applyNumberFormat="1" applyFont="1" applyBorder="1" applyAlignment="1" applyProtection="1">
      <alignment horizontal="center" vertical="center" wrapText="1" readingOrder="1"/>
      <protection locked="0"/>
    </xf>
    <xf numFmtId="0" fontId="25" fillId="17" borderId="51" xfId="0" applyFont="1" applyFill="1" applyBorder="1" applyAlignment="1" applyProtection="1">
      <alignment horizontal="left" vertical="center" wrapText="1" readingOrder="1"/>
      <protection locked="0"/>
    </xf>
    <xf numFmtId="0" fontId="25" fillId="17" borderId="62" xfId="0" applyFont="1" applyFill="1" applyBorder="1" applyAlignment="1" applyProtection="1">
      <alignment horizontal="left" vertical="center" wrapText="1" readingOrder="1"/>
      <protection locked="0"/>
    </xf>
    <xf numFmtId="0" fontId="25" fillId="17" borderId="37" xfId="0" applyFont="1" applyFill="1" applyBorder="1" applyAlignment="1" applyProtection="1">
      <alignment horizontal="left" vertical="center" wrapText="1" readingOrder="1"/>
      <protection locked="0"/>
    </xf>
    <xf numFmtId="49" fontId="25" fillId="17" borderId="51" xfId="0" applyNumberFormat="1" applyFont="1" applyFill="1" applyBorder="1" applyAlignment="1" applyProtection="1">
      <alignment horizontal="left" vertical="center" wrapText="1" readingOrder="1"/>
      <protection locked="0"/>
    </xf>
    <xf numFmtId="49" fontId="25" fillId="17" borderId="62" xfId="0" applyNumberFormat="1" applyFont="1" applyFill="1" applyBorder="1" applyAlignment="1" applyProtection="1">
      <alignment horizontal="left" vertical="center" wrapText="1" readingOrder="1"/>
      <protection locked="0"/>
    </xf>
    <xf numFmtId="49" fontId="25" fillId="17" borderId="37" xfId="0" applyNumberFormat="1" applyFont="1" applyFill="1" applyBorder="1" applyAlignment="1" applyProtection="1">
      <alignment horizontal="left" vertical="center" wrapText="1" readingOrder="1"/>
      <protection locked="0"/>
    </xf>
    <xf numFmtId="3" fontId="25" fillId="17" borderId="51" xfId="0" applyNumberFormat="1" applyFont="1" applyFill="1" applyBorder="1" applyAlignment="1" applyProtection="1">
      <alignment horizontal="center" vertical="center" wrapText="1" readingOrder="1"/>
      <protection locked="0"/>
    </xf>
    <xf numFmtId="3" fontId="25" fillId="17" borderId="37" xfId="0" applyNumberFormat="1" applyFont="1" applyFill="1" applyBorder="1" applyAlignment="1" applyProtection="1">
      <alignment horizontal="center" vertical="center" wrapText="1" readingOrder="1"/>
      <protection locked="0"/>
    </xf>
    <xf numFmtId="0" fontId="7" fillId="6" borderId="52" xfId="0" applyFont="1" applyFill="1" applyBorder="1" applyAlignment="1" applyProtection="1">
      <alignment horizontal="center" wrapText="1" readingOrder="1"/>
      <protection locked="0"/>
    </xf>
    <xf numFmtId="0" fontId="7" fillId="6" borderId="53" xfId="0" applyFont="1" applyFill="1" applyBorder="1" applyAlignment="1" applyProtection="1">
      <alignment horizontal="center" wrapText="1" readingOrder="1"/>
      <protection locked="0"/>
    </xf>
    <xf numFmtId="0" fontId="7" fillId="6" borderId="54" xfId="0" applyFont="1" applyFill="1" applyBorder="1" applyAlignment="1" applyProtection="1">
      <alignment horizontal="center" wrapText="1" readingOrder="1"/>
      <protection locked="0"/>
    </xf>
    <xf numFmtId="49" fontId="25" fillId="17" borderId="1" xfId="0" applyNumberFormat="1" applyFont="1" applyFill="1" applyBorder="1" applyAlignment="1" applyProtection="1">
      <alignment horizontal="left" vertical="center" wrapText="1" readingOrder="1"/>
      <protection locked="0"/>
    </xf>
    <xf numFmtId="49" fontId="25" fillId="17" borderId="2" xfId="0" applyNumberFormat="1" applyFont="1" applyFill="1" applyBorder="1" applyAlignment="1" applyProtection="1">
      <alignment horizontal="left" vertical="center" wrapText="1" readingOrder="1"/>
      <protection locked="0"/>
    </xf>
    <xf numFmtId="0" fontId="25" fillId="17" borderId="38" xfId="0" applyFont="1" applyFill="1" applyBorder="1" applyAlignment="1" applyProtection="1">
      <alignment horizontal="left" vertical="center" wrapText="1" readingOrder="1"/>
      <protection locked="0"/>
    </xf>
    <xf numFmtId="0" fontId="25" fillId="17" borderId="27" xfId="0" applyFont="1" applyFill="1" applyBorder="1" applyAlignment="1" applyProtection="1">
      <alignment horizontal="left" vertical="center" wrapText="1" readingOrder="1"/>
      <protection locked="0"/>
    </xf>
    <xf numFmtId="0" fontId="25" fillId="17" borderId="39" xfId="0" applyFont="1" applyFill="1" applyBorder="1" applyAlignment="1" applyProtection="1">
      <alignment horizontal="left" vertical="center" wrapText="1" readingOrder="1"/>
      <protection locked="0"/>
    </xf>
    <xf numFmtId="3" fontId="25" fillId="17" borderId="45" xfId="0" applyNumberFormat="1" applyFont="1" applyFill="1" applyBorder="1" applyAlignment="1" applyProtection="1">
      <alignment horizontal="center" vertical="center" wrapText="1" readingOrder="1"/>
      <protection locked="0"/>
    </xf>
    <xf numFmtId="3" fontId="25" fillId="17" borderId="56" xfId="0" applyNumberFormat="1" applyFont="1" applyFill="1" applyBorder="1" applyAlignment="1" applyProtection="1">
      <alignment horizontal="center" vertical="center" wrapText="1" readingOrder="1"/>
      <protection locked="0"/>
    </xf>
  </cellXfs>
  <cellStyles count="3">
    <cellStyle name="Ezres" xfId="1" builtinId="3"/>
    <cellStyle name="Normál" xfId="0" builtinId="0"/>
    <cellStyle name="Százalék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FFFE0"/>
      <rgbColor rgb="00D3D3D3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1"/>
  <sheetViews>
    <sheetView zoomScaleNormal="100" workbookViewId="0">
      <selection activeCell="K28" sqref="K28"/>
    </sheetView>
  </sheetViews>
  <sheetFormatPr defaultRowHeight="12.75" x14ac:dyDescent="0.2"/>
  <cols>
    <col min="1" max="1" width="7.140625" customWidth="1"/>
    <col min="2" max="2" width="30.42578125" customWidth="1"/>
    <col min="3" max="5" width="10.5703125" customWidth="1"/>
    <col min="6" max="6" width="9.140625" customWidth="1"/>
    <col min="7" max="7" width="6.42578125" customWidth="1"/>
    <col min="8" max="8" width="10.5703125" customWidth="1"/>
    <col min="9" max="9" width="6.140625" customWidth="1"/>
    <col min="10" max="10" width="28.28515625" customWidth="1"/>
    <col min="11" max="13" width="11.85546875" customWidth="1"/>
    <col min="14" max="14" width="9.140625" customWidth="1"/>
    <col min="15" max="15" width="6.7109375" customWidth="1"/>
    <col min="16" max="16" width="10.7109375" customWidth="1"/>
    <col min="17" max="18" width="11.5703125" bestFit="1" customWidth="1"/>
  </cols>
  <sheetData>
    <row r="1" spans="1:18" x14ac:dyDescent="0.2">
      <c r="N1" s="402"/>
      <c r="O1" s="402"/>
      <c r="P1" s="403"/>
    </row>
    <row r="2" spans="1:18" x14ac:dyDescent="0.2">
      <c r="A2" s="126"/>
      <c r="B2" s="412" t="s">
        <v>177</v>
      </c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2"/>
      <c r="N2" s="412"/>
      <c r="O2" s="412"/>
      <c r="P2" s="412"/>
    </row>
    <row r="3" spans="1:18" x14ac:dyDescent="0.2">
      <c r="A3" s="126"/>
      <c r="B3" s="412" t="s">
        <v>161</v>
      </c>
      <c r="C3" s="412"/>
      <c r="D3" s="412"/>
      <c r="E3" s="412"/>
      <c r="F3" s="412"/>
      <c r="G3" s="412"/>
      <c r="H3" s="412"/>
      <c r="I3" s="412"/>
      <c r="J3" s="412"/>
      <c r="K3" s="412"/>
      <c r="L3" s="412"/>
      <c r="M3" s="412"/>
      <c r="N3" s="412"/>
      <c r="O3" s="412"/>
      <c r="P3" s="412"/>
    </row>
    <row r="4" spans="1:18" x14ac:dyDescent="0.2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</row>
    <row r="5" spans="1:18" x14ac:dyDescent="0.2">
      <c r="A5" s="126"/>
      <c r="B5" s="412" t="s">
        <v>47</v>
      </c>
      <c r="C5" s="412"/>
      <c r="D5" s="412"/>
      <c r="E5" s="412"/>
      <c r="F5" s="412"/>
      <c r="G5" s="412"/>
      <c r="H5" s="412"/>
      <c r="I5" s="412"/>
      <c r="J5" s="412"/>
      <c r="K5" s="412"/>
      <c r="L5" s="412"/>
      <c r="M5" s="412"/>
      <c r="N5" s="412"/>
      <c r="O5" s="412"/>
      <c r="P5" s="412"/>
    </row>
    <row r="6" spans="1:18" ht="13.5" thickBot="1" x14ac:dyDescent="0.2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8" t="s">
        <v>50</v>
      </c>
    </row>
    <row r="7" spans="1:18" x14ac:dyDescent="0.2">
      <c r="A7" s="413" t="s">
        <v>34</v>
      </c>
      <c r="B7" s="414"/>
      <c r="C7" s="414"/>
      <c r="D7" s="414"/>
      <c r="E7" s="414"/>
      <c r="F7" s="414"/>
      <c r="G7" s="414"/>
      <c r="H7" s="414"/>
      <c r="I7" s="415" t="s">
        <v>38</v>
      </c>
      <c r="J7" s="416"/>
      <c r="K7" s="416"/>
      <c r="L7" s="416"/>
      <c r="M7" s="416"/>
      <c r="N7" s="416"/>
      <c r="O7" s="416"/>
      <c r="P7" s="417"/>
    </row>
    <row r="8" spans="1:18" ht="36.75" customHeight="1" thickBot="1" x14ac:dyDescent="0.25">
      <c r="A8" s="404" t="s">
        <v>51</v>
      </c>
      <c r="B8" s="405"/>
      <c r="C8" s="169" t="s">
        <v>58</v>
      </c>
      <c r="D8" s="169" t="s">
        <v>172</v>
      </c>
      <c r="E8" s="169" t="s">
        <v>192</v>
      </c>
      <c r="F8" s="169" t="s">
        <v>116</v>
      </c>
      <c r="G8" s="169" t="s">
        <v>57</v>
      </c>
      <c r="H8" s="169" t="s">
        <v>178</v>
      </c>
      <c r="I8" s="406" t="s">
        <v>51</v>
      </c>
      <c r="J8" s="407"/>
      <c r="K8" s="392" t="s">
        <v>58</v>
      </c>
      <c r="L8" s="348" t="s">
        <v>172</v>
      </c>
      <c r="M8" s="393" t="s">
        <v>192</v>
      </c>
      <c r="N8" s="348" t="s">
        <v>116</v>
      </c>
      <c r="O8" s="393" t="s">
        <v>57</v>
      </c>
      <c r="P8" s="394" t="s">
        <v>178</v>
      </c>
    </row>
    <row r="9" spans="1:18" ht="18.75" customHeight="1" x14ac:dyDescent="0.2">
      <c r="A9" s="201" t="s">
        <v>130</v>
      </c>
      <c r="B9" s="202" t="s">
        <v>131</v>
      </c>
      <c r="C9" s="203">
        <f>SUM('Bevételek(Óvoda 2023)'!C8/1000)</f>
        <v>0</v>
      </c>
      <c r="D9" s="203"/>
      <c r="E9" s="203"/>
      <c r="F9" s="203">
        <f>SUM('Bevételek(Óvoda 2023)'!F8/1000)</f>
        <v>0</v>
      </c>
      <c r="G9" s="386">
        <v>0</v>
      </c>
      <c r="H9" s="363">
        <f>SUM('Bevételek(Óvoda 2023)'!H8/1000)</f>
        <v>0</v>
      </c>
      <c r="I9" s="396" t="s">
        <v>59</v>
      </c>
      <c r="J9" s="390" t="s">
        <v>35</v>
      </c>
      <c r="K9" s="390">
        <f>SUM('Kiadások(Óvoda 2023)'!C18/1000)</f>
        <v>84560</v>
      </c>
      <c r="L9" s="390">
        <f>SUM('Kiadások(Óvoda 2023)'!D18/1000)</f>
        <v>85660</v>
      </c>
      <c r="M9" s="390">
        <f>SUM('Kiadások(Óvoda 2023)'!E18/1000)</f>
        <v>59062.953999999998</v>
      </c>
      <c r="N9" s="390">
        <f>SUM('Kiadások(Óvoda 2023)'!F18/1000)</f>
        <v>20</v>
      </c>
      <c r="O9" s="385">
        <f t="shared" ref="O9:O10" si="0">P9/L9*100</f>
        <v>100.02334812047631</v>
      </c>
      <c r="P9" s="391">
        <f>SUM('Kiadások(Óvoda 2023)'!H18/1000)</f>
        <v>85680</v>
      </c>
    </row>
    <row r="10" spans="1:18" ht="19.5" customHeight="1" x14ac:dyDescent="0.2">
      <c r="A10" s="154" t="s">
        <v>99</v>
      </c>
      <c r="B10" s="129" t="s">
        <v>65</v>
      </c>
      <c r="C10" s="157">
        <f>SUM('Bevételek(Óvoda 2023)'!C9/1000)</f>
        <v>0</v>
      </c>
      <c r="D10" s="157">
        <f>SUM('Bevételek(Óvoda 2023)'!D9/1000)</f>
        <v>1453</v>
      </c>
      <c r="E10" s="157">
        <f>SUM('Bevételek(Óvoda 2023)'!E9/1000)</f>
        <v>1833</v>
      </c>
      <c r="F10" s="157">
        <f>SUM('Bevételek(Óvoda 2023)'!F9/1000)</f>
        <v>430</v>
      </c>
      <c r="G10" s="384">
        <v>0</v>
      </c>
      <c r="H10" s="364">
        <f>SUM('Bevételek(Óvoda 2023)'!H9/1000)</f>
        <v>1883</v>
      </c>
      <c r="I10" s="198" t="s">
        <v>52</v>
      </c>
      <c r="J10" s="132" t="s">
        <v>43</v>
      </c>
      <c r="K10" s="132">
        <f>SUM('Kiadások(Óvoda 2023)'!C21/1000)</f>
        <v>10985</v>
      </c>
      <c r="L10" s="132">
        <f>SUM('Kiadások(Óvoda 2023)'!D21/1000)</f>
        <v>11155</v>
      </c>
      <c r="M10" s="132">
        <f>SUM('Kiadások(Óvoda 2023)'!E21/1000)</f>
        <v>7372.777</v>
      </c>
      <c r="N10" s="132">
        <f>SUM('Kiadások(Óvoda 2023)'!F21/1000)</f>
        <v>0</v>
      </c>
      <c r="O10" s="385">
        <f t="shared" si="0"/>
        <v>100</v>
      </c>
      <c r="P10" s="133">
        <f>SUM('Kiadások(Óvoda 2023)'!H21/1000)</f>
        <v>11155</v>
      </c>
    </row>
    <row r="11" spans="1:18" ht="19.5" customHeight="1" x14ac:dyDescent="0.2">
      <c r="A11" s="154" t="s">
        <v>128</v>
      </c>
      <c r="B11" s="129" t="s">
        <v>129</v>
      </c>
      <c r="C11" s="157">
        <f>SUM('Bevételek(Óvoda 2023)'!C10/1000)</f>
        <v>0</v>
      </c>
      <c r="D11" s="157">
        <f>SUM('Bevételek(Óvoda 2023)'!D10/1000)</f>
        <v>0</v>
      </c>
      <c r="E11" s="157"/>
      <c r="F11" s="157">
        <f>SUM('Bevételek(Óvoda 2023)'!F10/1000)</f>
        <v>0</v>
      </c>
      <c r="G11" s="384">
        <v>0</v>
      </c>
      <c r="H11" s="365">
        <f>SUM('Bevételek(Óvoda 2023)'!H10/1000)</f>
        <v>0</v>
      </c>
      <c r="I11" s="131" t="s">
        <v>53</v>
      </c>
      <c r="J11" s="132" t="s">
        <v>37</v>
      </c>
      <c r="K11" s="132">
        <f>SUM('Kiadások(Óvoda 2023)'!C33/1000)</f>
        <v>18216</v>
      </c>
      <c r="L11" s="132">
        <f>SUM('Kiadások(Óvoda 2023)'!D33/1000)</f>
        <v>22083.7</v>
      </c>
      <c r="M11" s="132">
        <f>SUM('Kiadások(Óvoda 2023)'!E33/1000)</f>
        <v>18468.894</v>
      </c>
      <c r="N11" s="132">
        <f>SUM('Kiadások(Óvoda 2023)'!F33/1000)</f>
        <v>-374.42500000000001</v>
      </c>
      <c r="O11" s="385">
        <f>P11/L11*100</f>
        <v>98.304518717425069</v>
      </c>
      <c r="P11" s="133">
        <f>SUM('Kiadások(Óvoda 2023)'!H33/1000)</f>
        <v>21709.275000000001</v>
      </c>
    </row>
    <row r="12" spans="1:18" ht="20.100000000000001" customHeight="1" x14ac:dyDescent="0.2">
      <c r="A12" s="154" t="s">
        <v>61</v>
      </c>
      <c r="B12" s="129" t="s">
        <v>94</v>
      </c>
      <c r="C12" s="157">
        <f>SUM('Bevételek(Óvoda 2023)'!C11/1000)</f>
        <v>0</v>
      </c>
      <c r="D12" s="157">
        <f>SUM('Bevételek(Óvoda 2023)'!D11/1000)</f>
        <v>5</v>
      </c>
      <c r="E12" s="157">
        <f>SUM('Bevételek(Óvoda 2023)'!E11/1000)</f>
        <v>2.383</v>
      </c>
      <c r="F12" s="157">
        <f>SUM('Bevételek(Óvoda 2023)'!F11/1000)</f>
        <v>0</v>
      </c>
      <c r="G12" s="384">
        <v>0</v>
      </c>
      <c r="H12" s="366">
        <f>SUM('Bevételek(Óvoda 2023)'!H11/1000)</f>
        <v>5</v>
      </c>
      <c r="I12" s="18"/>
      <c r="J12" s="204"/>
      <c r="K12" s="204"/>
      <c r="L12" s="204"/>
      <c r="M12" s="204"/>
      <c r="N12" s="204"/>
      <c r="O12" s="196"/>
      <c r="P12" s="200"/>
      <c r="Q12" s="19"/>
      <c r="R12" s="19"/>
    </row>
    <row r="13" spans="1:18" ht="18.75" customHeight="1" x14ac:dyDescent="0.25">
      <c r="A13" s="155" t="s">
        <v>55</v>
      </c>
      <c r="B13" s="130" t="s">
        <v>42</v>
      </c>
      <c r="C13" s="132">
        <f>SUM('Bevételek(Óvoda 2023)'!C13/1000)</f>
        <v>114208.724</v>
      </c>
      <c r="D13" s="132">
        <f>SUM('Bevételek(Óvoda 2023)'!D13/1000)</f>
        <v>119341.424</v>
      </c>
      <c r="E13" s="132">
        <f>SUM('Bevételek(Óvoda 2023)'!E13/1000)</f>
        <v>88028.2</v>
      </c>
      <c r="F13" s="132">
        <f>SUM('Bevételek(Óvoda 2023)'!F14/1000)</f>
        <v>-158.40799999999999</v>
      </c>
      <c r="G13" s="384">
        <f>H13/C13*100</f>
        <v>85.122150563559401</v>
      </c>
      <c r="H13" s="358">
        <f>SUM('Bevételek(Óvoda 2023)'!H14/1000)</f>
        <v>97216.922000000006</v>
      </c>
      <c r="I13" s="199"/>
      <c r="J13" s="196"/>
      <c r="K13" s="196"/>
      <c r="L13" s="196"/>
      <c r="M13" s="196"/>
      <c r="N13" s="196"/>
      <c r="O13" s="196"/>
      <c r="P13" s="200"/>
      <c r="Q13" s="25"/>
      <c r="R13" s="25"/>
    </row>
    <row r="14" spans="1:18" ht="20.100000000000001" customHeight="1" x14ac:dyDescent="0.25">
      <c r="A14" s="155" t="s">
        <v>55</v>
      </c>
      <c r="B14" s="134" t="s">
        <v>56</v>
      </c>
      <c r="C14" s="132">
        <f>SUM('Bevételek(Óvoda 2023)'!C14/1000)</f>
        <v>99197.96</v>
      </c>
      <c r="D14" s="132">
        <f>SUM('Bevételek(Óvoda 2023)'!D14/1000)</f>
        <v>97375.33</v>
      </c>
      <c r="E14" s="132">
        <f>SUM('Bevételek(Óvoda 2023)'!E14/1000)</f>
        <v>88028.2</v>
      </c>
      <c r="F14" s="132">
        <f>SUM('Bevételek(Óvoda 2023)'!F15/1000)</f>
        <v>0</v>
      </c>
      <c r="G14" s="384">
        <v>0</v>
      </c>
      <c r="H14" s="358">
        <f>SUM('Bevételek(Óvoda 2023)'!H15/1000)</f>
        <v>10099.907999999999</v>
      </c>
      <c r="I14" s="359"/>
      <c r="J14" s="357"/>
      <c r="K14" s="357"/>
      <c r="L14" s="357"/>
      <c r="M14" s="357"/>
      <c r="N14" s="360"/>
      <c r="O14" s="360"/>
      <c r="P14" s="361"/>
      <c r="Q14" s="25"/>
      <c r="R14" s="25"/>
    </row>
    <row r="15" spans="1:18" ht="20.100000000000001" customHeight="1" x14ac:dyDescent="0.25">
      <c r="A15" s="154" t="s">
        <v>55</v>
      </c>
      <c r="B15" s="130" t="s">
        <v>91</v>
      </c>
      <c r="C15" s="132">
        <f>SUM('Bevételek(Óvoda 2023)'!C15/1000)</f>
        <v>15010.763999999999</v>
      </c>
      <c r="D15" s="132">
        <f>SUM('Bevételek(Óvoda 2023)'!D15/1000)</f>
        <v>10099.907999999999</v>
      </c>
      <c r="E15" s="132">
        <f>SUM('Bevételek(Óvoda 2023)'!E15/1000)</f>
        <v>0</v>
      </c>
      <c r="F15" s="132">
        <f>SUM('Bevételek(Óvoda 2023)'!F16/1000)</f>
        <v>-196.017</v>
      </c>
      <c r="G15" s="387">
        <v>0</v>
      </c>
      <c r="H15" s="358">
        <f>SUM('Bevételek(Óvoda 2023)'!H16/1000)</f>
        <v>11670.169</v>
      </c>
      <c r="I15" s="131"/>
      <c r="J15" s="132"/>
      <c r="K15" s="132"/>
      <c r="L15" s="132"/>
      <c r="M15" s="132"/>
      <c r="N15" s="362"/>
      <c r="O15" s="362"/>
      <c r="P15" s="133"/>
      <c r="Q15" s="25"/>
      <c r="R15" s="25"/>
    </row>
    <row r="16" spans="1:18" ht="20.100000000000001" customHeight="1" thickBot="1" x14ac:dyDescent="0.3">
      <c r="A16" s="156"/>
      <c r="B16" s="139" t="s">
        <v>176</v>
      </c>
      <c r="C16" s="132">
        <f>SUM('Bevételek(Óvoda 2023)'!C16/1000)</f>
        <v>0</v>
      </c>
      <c r="D16" s="132">
        <f>SUM('Bevételek(Óvoda 2023)'!D16/1000)</f>
        <v>11866.186</v>
      </c>
      <c r="E16" s="132">
        <f>SUM('Bevételek(Óvoda 2023)'!E16/1000)</f>
        <v>0</v>
      </c>
      <c r="F16" s="142"/>
      <c r="G16" s="388"/>
      <c r="H16" s="140"/>
      <c r="I16" s="326"/>
      <c r="J16" s="327"/>
      <c r="K16" s="303"/>
      <c r="L16" s="355"/>
      <c r="M16" s="328"/>
      <c r="N16" s="329"/>
      <c r="O16" s="304"/>
      <c r="P16" s="356"/>
      <c r="Q16" s="25"/>
      <c r="R16" s="25"/>
    </row>
    <row r="17" spans="1:18" ht="20.100000000000001" customHeight="1" thickBot="1" x14ac:dyDescent="0.25">
      <c r="A17" s="135"/>
      <c r="B17" s="136" t="s">
        <v>74</v>
      </c>
      <c r="C17" s="137">
        <f>SUM(C9:C13)</f>
        <v>114208.724</v>
      </c>
      <c r="D17" s="137">
        <f t="shared" ref="D17:E17" si="1">SUM(D9:D13)</f>
        <v>120799.424</v>
      </c>
      <c r="E17" s="137">
        <f t="shared" si="1"/>
        <v>89863.582999999999</v>
      </c>
      <c r="F17" s="137">
        <f>SUM(F9:F15)</f>
        <v>75.574999999999989</v>
      </c>
      <c r="G17" s="395">
        <f>H17/C17*100</f>
        <v>105.83692275556812</v>
      </c>
      <c r="H17" s="138">
        <f>SUM(H9:H15)</f>
        <v>120874.999</v>
      </c>
      <c r="I17" s="194"/>
      <c r="J17" s="195" t="s">
        <v>44</v>
      </c>
      <c r="K17" s="137">
        <f>SUM(K9:K14)</f>
        <v>113761</v>
      </c>
      <c r="L17" s="137">
        <f t="shared" ref="L17:M17" si="2">SUM(L9:L14)</f>
        <v>118898.7</v>
      </c>
      <c r="M17" s="137">
        <f t="shared" si="2"/>
        <v>84904.625</v>
      </c>
      <c r="N17" s="137">
        <f t="shared" ref="N17" si="3">SUM(N9:N14)</f>
        <v>-354.42500000000001</v>
      </c>
      <c r="O17" s="350">
        <f>P17/L17*100</f>
        <v>99.701910113399052</v>
      </c>
      <c r="P17" s="349">
        <f>SUM(P9:P14)</f>
        <v>118544.27499999999</v>
      </c>
      <c r="Q17" s="19"/>
      <c r="R17" s="19"/>
    </row>
    <row r="18" spans="1:18" ht="20.100000000000001" customHeight="1" x14ac:dyDescent="0.2">
      <c r="A18" s="257"/>
      <c r="B18" s="258"/>
      <c r="C18" s="259"/>
      <c r="D18" s="259"/>
      <c r="E18" s="259"/>
      <c r="F18" s="259"/>
      <c r="G18" s="389"/>
      <c r="H18" s="256"/>
      <c r="I18" s="254" t="s">
        <v>149</v>
      </c>
      <c r="J18" s="197" t="s">
        <v>136</v>
      </c>
      <c r="K18" s="255"/>
      <c r="L18" s="255"/>
      <c r="M18" s="255"/>
      <c r="N18" s="255"/>
      <c r="O18" s="353"/>
      <c r="P18" s="351">
        <f>SUM('Kiadások(Óvoda 2023)'!H34/1000)</f>
        <v>0</v>
      </c>
      <c r="Q18" s="19"/>
      <c r="R18" s="19"/>
    </row>
    <row r="19" spans="1:18" ht="20.100000000000001" customHeight="1" thickBot="1" x14ac:dyDescent="0.25">
      <c r="A19" s="156" t="s">
        <v>54</v>
      </c>
      <c r="B19" s="139" t="s">
        <v>45</v>
      </c>
      <c r="C19" s="142">
        <f>SUM('Bevételek(Óvoda 2023)'!C12/1000)</f>
        <v>1368.376</v>
      </c>
      <c r="D19" s="142">
        <f>SUM('Bevételek(Óvoda 2023)'!D12/1000)</f>
        <v>1368.376</v>
      </c>
      <c r="E19" s="142">
        <f>SUM('Bevételek(Óvoda 2023)'!E12/1000)</f>
        <v>1368.376</v>
      </c>
      <c r="F19" s="142">
        <f>SUM('Bevételek(Óvoda 2023)'!F12/1000)</f>
        <v>0</v>
      </c>
      <c r="G19" s="387">
        <f>H19/C19*100</f>
        <v>100</v>
      </c>
      <c r="H19" s="140">
        <f>'Bevételek COFOG'!H9/1000</f>
        <v>1368.376</v>
      </c>
      <c r="I19" s="141" t="s">
        <v>100</v>
      </c>
      <c r="J19" s="142" t="s">
        <v>101</v>
      </c>
      <c r="K19" s="158">
        <f>SUM('Kiadások(Óvoda 2023)'!C38/1000)</f>
        <v>1816.1</v>
      </c>
      <c r="L19" s="158">
        <f>SUM('Kiadások(Óvoda 2023)'!D38/1000)</f>
        <v>3269.1</v>
      </c>
      <c r="M19" s="158">
        <f>SUM('Kiadások(Óvoda 2023)'!E38/1000)</f>
        <v>0</v>
      </c>
      <c r="N19" s="158">
        <f>SUM('Kiadások(Óvoda 2023)'!F38/1000)</f>
        <v>430</v>
      </c>
      <c r="O19" s="354">
        <f>P19/L19*100</f>
        <v>113.1534673151632</v>
      </c>
      <c r="P19" s="352">
        <f>SUM('Kiadások(Óvoda 2023)'!H38/1000)</f>
        <v>3699.1</v>
      </c>
      <c r="Q19" s="19"/>
      <c r="R19" s="19"/>
    </row>
    <row r="20" spans="1:18" ht="21.75" customHeight="1" thickBot="1" x14ac:dyDescent="0.25">
      <c r="A20" s="408" t="s">
        <v>46</v>
      </c>
      <c r="B20" s="409"/>
      <c r="C20" s="143">
        <f>SUM(C17:C19)</f>
        <v>115577.1</v>
      </c>
      <c r="D20" s="143">
        <f t="shared" ref="D20:E20" si="4">SUM(D17:D19)</f>
        <v>122167.8</v>
      </c>
      <c r="E20" s="143">
        <f t="shared" si="4"/>
        <v>91231.959000000003</v>
      </c>
      <c r="F20" s="143">
        <f t="shared" ref="F20" si="5">SUM(F17:F19)</f>
        <v>75.574999999999989</v>
      </c>
      <c r="G20" s="145">
        <f>H20/C20*100</f>
        <v>105.76781646191155</v>
      </c>
      <c r="H20" s="144">
        <f>SUM(H17:H19)</f>
        <v>122243.375</v>
      </c>
      <c r="I20" s="410" t="s">
        <v>46</v>
      </c>
      <c r="J20" s="411"/>
      <c r="K20" s="311">
        <f>SUM(K17:K19)</f>
        <v>115577.1</v>
      </c>
      <c r="L20" s="311">
        <f t="shared" ref="L20:M20" si="6">SUM(L17:L19)</f>
        <v>122167.8</v>
      </c>
      <c r="M20" s="311">
        <f t="shared" si="6"/>
        <v>84904.625</v>
      </c>
      <c r="N20" s="310">
        <f t="shared" ref="N20" si="7">SUM(N17:N19)</f>
        <v>75.574999999999989</v>
      </c>
      <c r="O20" s="309">
        <f>P20/K20*100</f>
        <v>105.76781646191155</v>
      </c>
      <c r="P20" s="308">
        <f>SUM(P17:P19)</f>
        <v>122243.375</v>
      </c>
      <c r="Q20" s="19"/>
      <c r="R20" s="19"/>
    </row>
    <row r="23" spans="1:18" ht="15.75" x14ac:dyDescent="0.25">
      <c r="F23" s="26"/>
      <c r="G23" s="26"/>
      <c r="H23" s="26"/>
    </row>
    <row r="24" spans="1:18" ht="15.75" x14ac:dyDescent="0.25">
      <c r="F24" s="26"/>
      <c r="G24" s="26"/>
      <c r="H24" s="26"/>
    </row>
    <row r="25" spans="1:18" ht="15.75" x14ac:dyDescent="0.25">
      <c r="F25" s="27"/>
      <c r="G25" s="27"/>
      <c r="H25" s="27"/>
    </row>
    <row r="26" spans="1:18" ht="15.75" x14ac:dyDescent="0.25">
      <c r="F26" s="26"/>
      <c r="G26" s="26"/>
      <c r="H26" s="26"/>
    </row>
    <row r="27" spans="1:18" ht="15.75" x14ac:dyDescent="0.25">
      <c r="B27" s="28"/>
      <c r="C27" s="28"/>
      <c r="D27" s="28"/>
      <c r="E27" s="28"/>
      <c r="F27" s="29"/>
      <c r="G27" s="29"/>
      <c r="H27" s="29"/>
      <c r="I27" s="28"/>
      <c r="J27" s="28"/>
      <c r="K27" s="28"/>
      <c r="L27" s="28"/>
      <c r="M27" s="28"/>
    </row>
    <row r="28" spans="1:18" x14ac:dyDescent="0.2">
      <c r="B28" s="28"/>
      <c r="C28" s="28"/>
      <c r="D28" s="28"/>
      <c r="E28" s="28"/>
      <c r="F28" s="28"/>
      <c r="G28" s="28"/>
      <c r="H28" s="30"/>
      <c r="I28" s="28"/>
      <c r="J28" s="28"/>
      <c r="K28" s="28"/>
      <c r="L28" s="28"/>
      <c r="M28" s="28"/>
    </row>
    <row r="29" spans="1:18" x14ac:dyDescent="0.2">
      <c r="B29" s="28"/>
      <c r="C29" s="28"/>
      <c r="D29" s="28"/>
      <c r="E29" s="28"/>
      <c r="F29" s="28"/>
      <c r="G29" s="28"/>
      <c r="H29" s="30"/>
      <c r="I29" s="28"/>
      <c r="J29" s="28"/>
      <c r="K29" s="28"/>
      <c r="L29" s="28"/>
      <c r="M29" s="28"/>
    </row>
    <row r="30" spans="1:18" x14ac:dyDescent="0.2">
      <c r="B30" s="28"/>
      <c r="C30" s="28"/>
      <c r="D30" s="28"/>
      <c r="E30" s="28"/>
      <c r="F30" s="28"/>
      <c r="G30" s="28"/>
      <c r="H30" s="12"/>
      <c r="I30" s="28"/>
      <c r="J30" s="28"/>
      <c r="K30" s="28"/>
      <c r="L30" s="28"/>
      <c r="M30" s="28"/>
    </row>
    <row r="31" spans="1:18" x14ac:dyDescent="0.2"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</sheetData>
  <sheetProtection algorithmName="SHA-512" hashValue="YxL3x/38z7C47CAqV+Lt+l9f/F21Zi+/ugeX4VdGfoQn3te1A9n/EOPv3ocDTW1nQEBdfMQADrQ+nWJ8waKPlg==" saltValue="9KKV9Aj+FZhylzWH20UA/g==" spinCount="100000" sheet="1" objects="1" scenarios="1"/>
  <mergeCells count="10">
    <mergeCell ref="N1:P1"/>
    <mergeCell ref="A8:B8"/>
    <mergeCell ref="I8:J8"/>
    <mergeCell ref="A20:B20"/>
    <mergeCell ref="I20:J20"/>
    <mergeCell ref="B2:P2"/>
    <mergeCell ref="B3:P3"/>
    <mergeCell ref="B5:P5"/>
    <mergeCell ref="A7:H7"/>
    <mergeCell ref="I7:P7"/>
  </mergeCells>
  <phoneticPr fontId="6" type="noConversion"/>
  <pageMargins left="0.59055118110236227" right="0.59055118110236227" top="0.98425196850393704" bottom="0.59055118110236227" header="0.51181102362204722" footer="0.51181102362204722"/>
  <pageSetup paperSize="9" scale="93" orientation="landscape" r:id="rId1"/>
  <headerFooter alignWithMargins="0">
    <oddHeader>&amp;LPiliscsévi "Aranykapu" Óvoda-Bölcsőde&amp;RIV/1. számú melléklet</oddHeader>
    <oddFooter>&amp;C&amp;P/&amp;N</oddFooter>
  </headerFooter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8"/>
  <sheetViews>
    <sheetView showGridLines="0" zoomScaleNormal="100" workbookViewId="0">
      <selection activeCell="L22" sqref="L22"/>
    </sheetView>
  </sheetViews>
  <sheetFormatPr defaultRowHeight="12.75" x14ac:dyDescent="0.2"/>
  <cols>
    <col min="1" max="1" width="12.28515625" customWidth="1"/>
    <col min="2" max="2" width="37.28515625" customWidth="1"/>
    <col min="3" max="3" width="13.42578125" customWidth="1"/>
    <col min="4" max="4" width="13" customWidth="1"/>
    <col min="5" max="5" width="10.28515625" customWidth="1"/>
    <col min="6" max="6" width="11.7109375" customWidth="1"/>
    <col min="7" max="7" width="11.42578125" customWidth="1"/>
    <col min="8" max="8" width="12.28515625" customWidth="1"/>
    <col min="12" max="12" width="9.85546875" bestFit="1" customWidth="1"/>
  </cols>
  <sheetData>
    <row r="1" spans="1:12" x14ac:dyDescent="0.2">
      <c r="G1" s="4"/>
      <c r="H1" s="4"/>
    </row>
    <row r="2" spans="1:12" x14ac:dyDescent="0.2">
      <c r="A2" s="422" t="s">
        <v>179</v>
      </c>
      <c r="B2" s="422"/>
      <c r="C2" s="422"/>
      <c r="D2" s="422"/>
      <c r="E2" s="422"/>
      <c r="F2" s="422"/>
      <c r="G2" s="422"/>
      <c r="H2" s="422"/>
    </row>
    <row r="3" spans="1:12" x14ac:dyDescent="0.2">
      <c r="A3" s="422" t="s">
        <v>161</v>
      </c>
      <c r="B3" s="422"/>
      <c r="C3" s="422"/>
      <c r="D3" s="422"/>
      <c r="E3" s="422"/>
      <c r="F3" s="422"/>
      <c r="G3" s="422"/>
      <c r="H3" s="422"/>
    </row>
    <row r="4" spans="1:12" ht="13.5" thickBot="1" x14ac:dyDescent="0.25">
      <c r="A4" s="59"/>
      <c r="B4" s="59"/>
      <c r="C4" s="59"/>
      <c r="D4" s="59"/>
      <c r="E4" s="59"/>
      <c r="F4" s="59"/>
      <c r="G4" s="59"/>
      <c r="H4" s="60" t="s">
        <v>48</v>
      </c>
    </row>
    <row r="5" spans="1:12" x14ac:dyDescent="0.2">
      <c r="A5" s="423" t="s">
        <v>34</v>
      </c>
      <c r="B5" s="424"/>
      <c r="C5" s="424"/>
      <c r="D5" s="424"/>
      <c r="E5" s="424"/>
      <c r="F5" s="424"/>
      <c r="G5" s="424"/>
      <c r="H5" s="425"/>
    </row>
    <row r="6" spans="1:12" x14ac:dyDescent="0.2">
      <c r="A6" s="426" t="s">
        <v>0</v>
      </c>
      <c r="B6" s="428" t="s">
        <v>18</v>
      </c>
      <c r="C6" s="430">
        <v>2023</v>
      </c>
      <c r="D6" s="431"/>
      <c r="E6" s="431"/>
      <c r="F6" s="431"/>
      <c r="G6" s="431"/>
      <c r="H6" s="432"/>
    </row>
    <row r="7" spans="1:12" ht="21.75" thickBot="1" x14ac:dyDescent="0.25">
      <c r="A7" s="427"/>
      <c r="B7" s="429"/>
      <c r="C7" s="61" t="s">
        <v>58</v>
      </c>
      <c r="D7" s="161" t="s">
        <v>172</v>
      </c>
      <c r="E7" s="161" t="s">
        <v>180</v>
      </c>
      <c r="F7" s="161" t="s">
        <v>116</v>
      </c>
      <c r="G7" s="61" t="s">
        <v>57</v>
      </c>
      <c r="H7" s="62" t="s">
        <v>178</v>
      </c>
    </row>
    <row r="8" spans="1:12" ht="21" x14ac:dyDescent="0.2">
      <c r="A8" s="74" t="s">
        <v>73</v>
      </c>
      <c r="B8" s="75" t="s">
        <v>92</v>
      </c>
      <c r="C8" s="76">
        <v>0</v>
      </c>
      <c r="D8" s="76"/>
      <c r="E8" s="76"/>
      <c r="F8" s="76">
        <f>SUM('Bevételek COFOG'!F18)</f>
        <v>0</v>
      </c>
      <c r="G8" s="66"/>
      <c r="H8" s="78">
        <v>0</v>
      </c>
    </row>
    <row r="9" spans="1:12" x14ac:dyDescent="0.2">
      <c r="A9" s="79" t="s">
        <v>93</v>
      </c>
      <c r="B9" s="80" t="s">
        <v>94</v>
      </c>
      <c r="C9" s="81">
        <v>0</v>
      </c>
      <c r="D9" s="81">
        <f>SUM('Bevételek COFOG'!D23)</f>
        <v>1453000</v>
      </c>
      <c r="E9" s="81">
        <f>SUM('Bevételek COFOG'!E23)</f>
        <v>1833000</v>
      </c>
      <c r="F9" s="81">
        <f>SUM('Bevételek COFOG'!F23)</f>
        <v>430000</v>
      </c>
      <c r="G9" s="66">
        <f t="shared" ref="G9:G11" si="0">H9/D9*100</f>
        <v>129.59394356503788</v>
      </c>
      <c r="H9" s="82">
        <f>'Bevételek COFOG'!H23</f>
        <v>1883000</v>
      </c>
    </row>
    <row r="10" spans="1:12" x14ac:dyDescent="0.2">
      <c r="A10" s="79" t="s">
        <v>126</v>
      </c>
      <c r="B10" s="80" t="s">
        <v>127</v>
      </c>
      <c r="C10" s="81"/>
      <c r="D10" s="81"/>
      <c r="E10" s="81"/>
      <c r="F10" s="81">
        <f>SUM('Bevételek COFOG'!F24)</f>
        <v>0</v>
      </c>
      <c r="G10" s="66">
        <v>0</v>
      </c>
      <c r="H10" s="82"/>
    </row>
    <row r="11" spans="1:12" x14ac:dyDescent="0.2">
      <c r="A11" s="63" t="s">
        <v>61</v>
      </c>
      <c r="B11" s="64" t="s">
        <v>62</v>
      </c>
      <c r="C11" s="77">
        <v>0</v>
      </c>
      <c r="D11" s="77">
        <f>SUM('Bevételek COFOG'!D25)</f>
        <v>5000</v>
      </c>
      <c r="E11" s="77">
        <f>SUM('Bevételek COFOG'!E25)</f>
        <v>2383</v>
      </c>
      <c r="F11" s="77">
        <f>SUM('Bevételek COFOG'!F25)</f>
        <v>0</v>
      </c>
      <c r="G11" s="66">
        <f t="shared" si="0"/>
        <v>100</v>
      </c>
      <c r="H11" s="83">
        <f>'Bevételek COFOG'!H25</f>
        <v>5000</v>
      </c>
    </row>
    <row r="12" spans="1:12" ht="21" x14ac:dyDescent="0.2">
      <c r="A12" s="63" t="s">
        <v>2</v>
      </c>
      <c r="B12" s="64" t="s">
        <v>19</v>
      </c>
      <c r="C12" s="77">
        <f>SUM('Bevételek COFOG'!C9)</f>
        <v>1368376</v>
      </c>
      <c r="D12" s="77">
        <v>1368376</v>
      </c>
      <c r="E12" s="77">
        <f>SUM('Bevételek COFOG'!E9)</f>
        <v>1368376</v>
      </c>
      <c r="F12" s="77">
        <f>SUM('Bevételek COFOG'!F9)</f>
        <v>0</v>
      </c>
      <c r="G12" s="66">
        <f>H12/D12*100</f>
        <v>100</v>
      </c>
      <c r="H12" s="67">
        <f>'Bevételek COFOG'!H9</f>
        <v>1368376</v>
      </c>
      <c r="L12" s="332"/>
    </row>
    <row r="13" spans="1:12" x14ac:dyDescent="0.2">
      <c r="A13" s="418" t="s">
        <v>3</v>
      </c>
      <c r="B13" s="68" t="s">
        <v>20</v>
      </c>
      <c r="C13" s="193">
        <f>SUM('Bevételek COFOG'!C10)</f>
        <v>114208724</v>
      </c>
      <c r="D13" s="193">
        <v>119341424</v>
      </c>
      <c r="E13" s="193">
        <f>SUM('Bevételek COFOG'!E10)</f>
        <v>88028200</v>
      </c>
      <c r="F13" s="193">
        <f>SUM('Bevételek COFOG'!F10)</f>
        <v>-354425</v>
      </c>
      <c r="G13" s="66">
        <f t="shared" ref="G13:G16" si="1">H13/D13*100</f>
        <v>99.703015945242953</v>
      </c>
      <c r="H13" s="69">
        <f>H14+H15+H16</f>
        <v>118986999</v>
      </c>
      <c r="L13" s="332"/>
    </row>
    <row r="14" spans="1:12" x14ac:dyDescent="0.2">
      <c r="A14" s="419"/>
      <c r="B14" s="70" t="s">
        <v>56</v>
      </c>
      <c r="C14" s="193">
        <f>SUM('Bevételek COFOG'!C11)</f>
        <v>99197960</v>
      </c>
      <c r="D14" s="160">
        <v>97375330</v>
      </c>
      <c r="E14" s="160">
        <f>SUM('Bevételek COFOG'!E11)</f>
        <v>88028200</v>
      </c>
      <c r="F14" s="193">
        <f>SUM('Bevételek COFOG'!F11)</f>
        <v>-158408</v>
      </c>
      <c r="G14" s="66">
        <f t="shared" si="1"/>
        <v>99.837322245788542</v>
      </c>
      <c r="H14" s="71">
        <f>'Bevételek COFOG'!H11</f>
        <v>97216922</v>
      </c>
    </row>
    <row r="15" spans="1:12" x14ac:dyDescent="0.2">
      <c r="A15" s="419"/>
      <c r="B15" s="70" t="s">
        <v>91</v>
      </c>
      <c r="C15" s="193">
        <f>SUM('Bevételek COFOG'!C12)</f>
        <v>15010764</v>
      </c>
      <c r="D15" s="160">
        <v>10099908</v>
      </c>
      <c r="E15" s="193"/>
      <c r="F15" s="193">
        <f>SUM('Bevételek COFOG'!F12)</f>
        <v>0</v>
      </c>
      <c r="G15" s="66">
        <f t="shared" si="1"/>
        <v>100</v>
      </c>
      <c r="H15" s="71">
        <f>'Bevételek COFOG'!H12</f>
        <v>10099908</v>
      </c>
    </row>
    <row r="16" spans="1:12" ht="13.5" thickBot="1" x14ac:dyDescent="0.25">
      <c r="A16" s="313"/>
      <c r="B16" s="323" t="s">
        <v>176</v>
      </c>
      <c r="C16" s="330">
        <f>SUM('Bevételek COFOG'!C13)</f>
        <v>0</v>
      </c>
      <c r="D16" s="330">
        <v>11866186</v>
      </c>
      <c r="E16" s="330"/>
      <c r="F16" s="330">
        <f>SUM('Bevételek COFOG'!F13)</f>
        <v>-196017</v>
      </c>
      <c r="G16" s="66">
        <f t="shared" si="1"/>
        <v>98.348104437263999</v>
      </c>
      <c r="H16" s="325">
        <f>SUM('Bevételek COFOG'!H13)</f>
        <v>11670169</v>
      </c>
    </row>
    <row r="17" spans="1:8" ht="26.25" customHeight="1" thickBot="1" x14ac:dyDescent="0.25">
      <c r="A17" s="420" t="s">
        <v>98</v>
      </c>
      <c r="B17" s="421"/>
      <c r="C17" s="299">
        <f>C8+C9+C11+C12+C13</f>
        <v>115577100</v>
      </c>
      <c r="D17" s="299">
        <f t="shared" ref="D17:E17" si="2">D8+D9+D11+D12+D13</f>
        <v>122167800</v>
      </c>
      <c r="E17" s="299">
        <f t="shared" si="2"/>
        <v>91231959</v>
      </c>
      <c r="F17" s="301">
        <f>F8+F9+F11+F12+F13</f>
        <v>75575</v>
      </c>
      <c r="G17" s="73">
        <f>H17/D17*100</f>
        <v>100.06186163620856</v>
      </c>
      <c r="H17" s="331">
        <f>H8+H9+H11+H12+H13</f>
        <v>122243375</v>
      </c>
    </row>
    <row r="18" spans="1:8" ht="24.95" customHeight="1" x14ac:dyDescent="0.2">
      <c r="A18" s="84"/>
      <c r="B18" s="84"/>
      <c r="C18" s="84"/>
      <c r="D18" s="84"/>
      <c r="E18" s="84"/>
      <c r="F18" s="85"/>
      <c r="G18" s="86"/>
      <c r="H18" s="85"/>
    </row>
  </sheetData>
  <sheetProtection algorithmName="SHA-512" hashValue="WS4ydUG0roKbJCzQZkMfaeBu8HveBhutFbgesvI4Tf9AEHuSu13iB9QpPRefVLqWVHf0BDugZwyezMqV9sn3RQ==" saltValue="Zpvd9SjEtA/ZxpPUq8ZYkg==" spinCount="100000" sheet="1" objects="1" scenarios="1"/>
  <mergeCells count="8">
    <mergeCell ref="A13:A15"/>
    <mergeCell ref="A17:B17"/>
    <mergeCell ref="A2:H2"/>
    <mergeCell ref="A3:H3"/>
    <mergeCell ref="A5:H5"/>
    <mergeCell ref="A6:A7"/>
    <mergeCell ref="B6:B7"/>
    <mergeCell ref="C6:H6"/>
  </mergeCells>
  <pageMargins left="0.98425196850393704" right="0.59055118110236227" top="0.59055118110236227" bottom="0.59055118110236227" header="0.51181102362204722" footer="0.51181102362204722"/>
  <pageSetup paperSize="9" scale="80" orientation="portrait" r:id="rId1"/>
  <headerFooter alignWithMargins="0">
    <oddHeader>&amp;RIV/2. számú melléklet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1"/>
  <sheetViews>
    <sheetView showGridLines="0" zoomScale="120" zoomScaleNormal="120" workbookViewId="0">
      <selection activeCell="H24" sqref="H24"/>
    </sheetView>
  </sheetViews>
  <sheetFormatPr defaultRowHeight="12.75" x14ac:dyDescent="0.2"/>
  <cols>
    <col min="1" max="1" width="12.28515625" customWidth="1"/>
    <col min="2" max="2" width="37.28515625" customWidth="1"/>
    <col min="3" max="4" width="13" customWidth="1"/>
    <col min="5" max="5" width="10" customWidth="1"/>
    <col min="6" max="6" width="11.7109375" customWidth="1"/>
    <col min="7" max="7" width="11.42578125" customWidth="1"/>
    <col min="8" max="8" width="12.28515625" customWidth="1"/>
    <col min="11" max="11" width="11" bestFit="1" customWidth="1"/>
    <col min="12" max="12" width="12.7109375" customWidth="1"/>
    <col min="14" max="14" width="12.7109375" bestFit="1" customWidth="1"/>
    <col min="15" max="15" width="10.5703125" bestFit="1" customWidth="1"/>
  </cols>
  <sheetData>
    <row r="1" spans="1:15" x14ac:dyDescent="0.2">
      <c r="G1" s="4"/>
      <c r="H1" s="4"/>
    </row>
    <row r="2" spans="1:15" x14ac:dyDescent="0.2">
      <c r="A2" s="422" t="s">
        <v>177</v>
      </c>
      <c r="B2" s="422"/>
      <c r="C2" s="422"/>
      <c r="D2" s="422"/>
      <c r="E2" s="422"/>
      <c r="F2" s="422"/>
      <c r="G2" s="422"/>
      <c r="H2" s="422"/>
    </row>
    <row r="3" spans="1:15" x14ac:dyDescent="0.2">
      <c r="A3" s="422" t="s">
        <v>161</v>
      </c>
      <c r="B3" s="422"/>
      <c r="C3" s="422"/>
      <c r="D3" s="422"/>
      <c r="E3" s="422"/>
      <c r="F3" s="422"/>
      <c r="G3" s="422"/>
      <c r="H3" s="422"/>
    </row>
    <row r="4" spans="1:15" x14ac:dyDescent="0.2">
      <c r="A4" s="59"/>
      <c r="B4" s="59"/>
      <c r="C4" s="59"/>
      <c r="D4" s="59"/>
      <c r="E4" s="59"/>
      <c r="F4" s="59"/>
      <c r="G4" s="59"/>
      <c r="H4" s="60" t="s">
        <v>48</v>
      </c>
    </row>
    <row r="5" spans="1:15" ht="13.5" thickBot="1" x14ac:dyDescent="0.25">
      <c r="A5" s="439" t="s">
        <v>90</v>
      </c>
      <c r="B5" s="439"/>
      <c r="C5" s="439"/>
      <c r="D5" s="439"/>
      <c r="E5" s="439"/>
      <c r="F5" s="439"/>
      <c r="G5" s="439"/>
      <c r="H5" s="439"/>
    </row>
    <row r="6" spans="1:15" x14ac:dyDescent="0.2">
      <c r="A6" s="436" t="s">
        <v>89</v>
      </c>
      <c r="B6" s="437"/>
      <c r="C6" s="437"/>
      <c r="D6" s="437"/>
      <c r="E6" s="437"/>
      <c r="F6" s="437"/>
      <c r="G6" s="437"/>
      <c r="H6" s="438"/>
    </row>
    <row r="7" spans="1:15" x14ac:dyDescent="0.2">
      <c r="A7" s="426" t="s">
        <v>0</v>
      </c>
      <c r="B7" s="428" t="s">
        <v>18</v>
      </c>
      <c r="C7" s="430">
        <v>2023</v>
      </c>
      <c r="D7" s="431"/>
      <c r="E7" s="431"/>
      <c r="F7" s="431"/>
      <c r="G7" s="431"/>
      <c r="H7" s="432"/>
    </row>
    <row r="8" spans="1:15" ht="22.5" customHeight="1" thickBot="1" x14ac:dyDescent="0.25">
      <c r="A8" s="427"/>
      <c r="B8" s="429"/>
      <c r="C8" s="61" t="s">
        <v>58</v>
      </c>
      <c r="D8" s="61" t="s">
        <v>172</v>
      </c>
      <c r="E8" s="342" t="s">
        <v>180</v>
      </c>
      <c r="F8" s="61" t="s">
        <v>116</v>
      </c>
      <c r="G8" s="61" t="s">
        <v>57</v>
      </c>
      <c r="H8" s="62" t="s">
        <v>178</v>
      </c>
    </row>
    <row r="9" spans="1:15" ht="21" x14ac:dyDescent="0.2">
      <c r="A9" s="63" t="s">
        <v>2</v>
      </c>
      <c r="B9" s="64" t="s">
        <v>19</v>
      </c>
      <c r="C9" s="77">
        <v>1368376</v>
      </c>
      <c r="D9" s="77">
        <v>1368376</v>
      </c>
      <c r="E9" s="343">
        <v>1368376</v>
      </c>
      <c r="F9" s="65">
        <f>H9-D9</f>
        <v>0</v>
      </c>
      <c r="G9" s="66">
        <f>H9/D9*100</f>
        <v>100</v>
      </c>
      <c r="H9" s="67">
        <v>1368376</v>
      </c>
      <c r="K9" s="205"/>
      <c r="L9" s="19"/>
    </row>
    <row r="10" spans="1:15" x14ac:dyDescent="0.2">
      <c r="A10" s="418" t="s">
        <v>3</v>
      </c>
      <c r="B10" s="68" t="s">
        <v>20</v>
      </c>
      <c r="C10" s="159">
        <f>SUM(C11:C12)</f>
        <v>114208724</v>
      </c>
      <c r="D10" s="193">
        <v>119341424</v>
      </c>
      <c r="E10" s="343">
        <f>SUM(E11:E13)</f>
        <v>88028200</v>
      </c>
      <c r="F10" s="65">
        <f t="shared" ref="F10:F13" si="0">H10-D10</f>
        <v>-354425</v>
      </c>
      <c r="G10" s="66">
        <f>H10/D10*100</f>
        <v>99.703015945242953</v>
      </c>
      <c r="H10" s="69">
        <f>SUM(H11:H13)</f>
        <v>118986999</v>
      </c>
      <c r="K10" s="205"/>
      <c r="L10" s="19"/>
    </row>
    <row r="11" spans="1:15" x14ac:dyDescent="0.2">
      <c r="A11" s="419"/>
      <c r="B11" s="70" t="s">
        <v>56</v>
      </c>
      <c r="C11" s="160">
        <v>99197960</v>
      </c>
      <c r="D11" s="333">
        <v>97375330</v>
      </c>
      <c r="E11" s="344">
        <v>88028200</v>
      </c>
      <c r="F11" s="65">
        <f t="shared" si="0"/>
        <v>-158408</v>
      </c>
      <c r="G11" s="66">
        <f t="shared" ref="G11:G13" si="1">H11/D11*100</f>
        <v>99.837322245788542</v>
      </c>
      <c r="H11" s="71">
        <f>SUM(L14)</f>
        <v>97216922</v>
      </c>
      <c r="K11" s="205" t="s">
        <v>132</v>
      </c>
      <c r="L11" s="19">
        <v>22047692</v>
      </c>
      <c r="N11" t="s">
        <v>174</v>
      </c>
      <c r="O11" s="19">
        <v>3292800</v>
      </c>
    </row>
    <row r="12" spans="1:15" x14ac:dyDescent="0.2">
      <c r="A12" s="419"/>
      <c r="B12" s="70" t="s">
        <v>91</v>
      </c>
      <c r="C12" s="160">
        <v>15010764</v>
      </c>
      <c r="D12" s="160">
        <v>10099908</v>
      </c>
      <c r="E12" s="344"/>
      <c r="F12" s="65">
        <f t="shared" si="0"/>
        <v>0</v>
      </c>
      <c r="G12" s="66">
        <f t="shared" si="1"/>
        <v>100</v>
      </c>
      <c r="H12" s="71">
        <v>10099908</v>
      </c>
      <c r="K12" s="205" t="s">
        <v>133</v>
      </c>
      <c r="L12" s="206">
        <v>75169230</v>
      </c>
      <c r="N12" t="s">
        <v>175</v>
      </c>
      <c r="O12" s="206">
        <v>8377369</v>
      </c>
    </row>
    <row r="13" spans="1:15" ht="13.5" thickBot="1" x14ac:dyDescent="0.25">
      <c r="A13" s="313"/>
      <c r="B13" s="323" t="s">
        <v>173</v>
      </c>
      <c r="C13" s="324">
        <v>0</v>
      </c>
      <c r="D13" s="346">
        <v>11866186</v>
      </c>
      <c r="E13" s="345"/>
      <c r="F13" s="65">
        <f t="shared" si="0"/>
        <v>-196017</v>
      </c>
      <c r="G13" s="66">
        <f t="shared" si="1"/>
        <v>98.348104437263999</v>
      </c>
      <c r="H13" s="325">
        <v>11670169</v>
      </c>
      <c r="K13" s="205"/>
      <c r="L13" s="19"/>
    </row>
    <row r="14" spans="1:15" ht="13.5" thickBot="1" x14ac:dyDescent="0.25">
      <c r="A14" s="420" t="s">
        <v>63</v>
      </c>
      <c r="B14" s="421"/>
      <c r="C14" s="299">
        <f>C9+C10</f>
        <v>115577100</v>
      </c>
      <c r="D14" s="299">
        <f>D9+D10</f>
        <v>120709800</v>
      </c>
      <c r="E14" s="299">
        <f>E9+E10</f>
        <v>89396576</v>
      </c>
      <c r="F14" s="301">
        <f>H14-D14</f>
        <v>-354425</v>
      </c>
      <c r="G14" s="300">
        <f>SUM(H14/D14*100)</f>
        <v>99.706382580370445</v>
      </c>
      <c r="H14" s="72">
        <f>SUM(H9:H10)</f>
        <v>120355375</v>
      </c>
      <c r="J14" s="302"/>
      <c r="L14" s="19">
        <f>SUM(L9:L12)</f>
        <v>97216922</v>
      </c>
      <c r="O14" s="19">
        <f>SUM(O11:O13)</f>
        <v>11670169</v>
      </c>
    </row>
    <row r="15" spans="1:15" hidden="1" x14ac:dyDescent="0.2">
      <c r="A15" s="436" t="s">
        <v>124</v>
      </c>
      <c r="B15" s="437"/>
      <c r="C15" s="437"/>
      <c r="D15" s="437"/>
      <c r="E15" s="437"/>
      <c r="F15" s="437"/>
      <c r="G15" s="437"/>
      <c r="H15" s="438"/>
    </row>
    <row r="16" spans="1:15" hidden="1" x14ac:dyDescent="0.2">
      <c r="A16" s="426" t="s">
        <v>0</v>
      </c>
      <c r="B16" s="428" t="s">
        <v>18</v>
      </c>
      <c r="C16" s="430">
        <v>2023</v>
      </c>
      <c r="D16" s="431"/>
      <c r="E16" s="431"/>
      <c r="F16" s="431"/>
      <c r="G16" s="431"/>
      <c r="H16" s="432"/>
    </row>
    <row r="17" spans="1:8" ht="21" hidden="1" customHeight="1" thickBot="1" x14ac:dyDescent="0.25">
      <c r="A17" s="427"/>
      <c r="B17" s="429"/>
      <c r="C17" s="61" t="s">
        <v>58</v>
      </c>
      <c r="D17" s="61" t="s">
        <v>172</v>
      </c>
      <c r="E17" s="342" t="s">
        <v>180</v>
      </c>
      <c r="F17" s="61" t="s">
        <v>116</v>
      </c>
      <c r="G17" s="61" t="s">
        <v>57</v>
      </c>
      <c r="H17" s="62" t="s">
        <v>178</v>
      </c>
    </row>
    <row r="18" spans="1:8" ht="21.75" hidden="1" thickBot="1" x14ac:dyDescent="0.25">
      <c r="A18" s="63" t="s">
        <v>73</v>
      </c>
      <c r="B18" s="64" t="s">
        <v>125</v>
      </c>
      <c r="C18" s="77">
        <v>0</v>
      </c>
      <c r="D18" s="77"/>
      <c r="E18" s="77"/>
      <c r="F18" s="65">
        <v>0</v>
      </c>
      <c r="G18" s="66">
        <v>0</v>
      </c>
      <c r="H18" s="67">
        <v>0</v>
      </c>
    </row>
    <row r="19" spans="1:8" ht="13.5" hidden="1" thickBot="1" x14ac:dyDescent="0.25">
      <c r="A19" s="420" t="s">
        <v>63</v>
      </c>
      <c r="B19" s="421"/>
      <c r="C19" s="299">
        <f>SUM(C18)</f>
        <v>0</v>
      </c>
      <c r="D19" s="299"/>
      <c r="E19" s="299"/>
      <c r="F19" s="301">
        <f t="shared" ref="F19" si="2">SUM(F18)</f>
        <v>0</v>
      </c>
      <c r="G19" s="300">
        <v>0</v>
      </c>
      <c r="H19" s="72">
        <f>SUM(H18)</f>
        <v>0</v>
      </c>
    </row>
    <row r="20" spans="1:8" x14ac:dyDescent="0.2">
      <c r="A20" s="433" t="s">
        <v>106</v>
      </c>
      <c r="B20" s="434"/>
      <c r="C20" s="434"/>
      <c r="D20" s="434"/>
      <c r="E20" s="434"/>
      <c r="F20" s="434"/>
      <c r="G20" s="434"/>
      <c r="H20" s="435"/>
    </row>
    <row r="21" spans="1:8" x14ac:dyDescent="0.2">
      <c r="A21" s="426" t="s">
        <v>0</v>
      </c>
      <c r="B21" s="428" t="s">
        <v>18</v>
      </c>
      <c r="C21" s="430">
        <v>2023</v>
      </c>
      <c r="D21" s="431"/>
      <c r="E21" s="431"/>
      <c r="F21" s="431"/>
      <c r="G21" s="431"/>
      <c r="H21" s="432"/>
    </row>
    <row r="22" spans="1:8" ht="24" customHeight="1" thickBot="1" x14ac:dyDescent="0.25">
      <c r="A22" s="427"/>
      <c r="B22" s="429"/>
      <c r="C22" s="61" t="s">
        <v>58</v>
      </c>
      <c r="D22" s="61" t="s">
        <v>172</v>
      </c>
      <c r="E22" s="342" t="s">
        <v>180</v>
      </c>
      <c r="F22" s="61" t="s">
        <v>116</v>
      </c>
      <c r="G22" s="61" t="s">
        <v>57</v>
      </c>
      <c r="H22" s="62" t="s">
        <v>178</v>
      </c>
    </row>
    <row r="23" spans="1:8" x14ac:dyDescent="0.2">
      <c r="A23" s="79" t="s">
        <v>93</v>
      </c>
      <c r="B23" s="80" t="s">
        <v>94</v>
      </c>
      <c r="C23" s="274">
        <v>0</v>
      </c>
      <c r="D23" s="274">
        <v>1453000</v>
      </c>
      <c r="E23" s="274">
        <v>1833000</v>
      </c>
      <c r="F23" s="276">
        <f>H23-D23</f>
        <v>430000</v>
      </c>
      <c r="G23" s="66">
        <f>SUM(H23/D23*100)</f>
        <v>129.59394356503788</v>
      </c>
      <c r="H23" s="82">
        <v>1883000</v>
      </c>
    </row>
    <row r="24" spans="1:8" x14ac:dyDescent="0.2">
      <c r="A24" s="79" t="s">
        <v>126</v>
      </c>
      <c r="B24" s="80" t="s">
        <v>127</v>
      </c>
      <c r="C24" s="274">
        <v>0</v>
      </c>
      <c r="D24" s="274">
        <v>0</v>
      </c>
      <c r="E24" s="274"/>
      <c r="F24" s="77">
        <f>H24-D24</f>
        <v>0</v>
      </c>
      <c r="G24" s="66">
        <v>0</v>
      </c>
      <c r="H24" s="82">
        <v>0</v>
      </c>
    </row>
    <row r="25" spans="1:8" ht="13.5" thickBot="1" x14ac:dyDescent="0.25">
      <c r="A25" s="63" t="s">
        <v>61</v>
      </c>
      <c r="B25" s="64" t="s">
        <v>62</v>
      </c>
      <c r="C25" s="275">
        <v>0</v>
      </c>
      <c r="D25" s="334">
        <v>5000</v>
      </c>
      <c r="E25" s="334">
        <v>2383</v>
      </c>
      <c r="F25" s="77">
        <f>H25-D25</f>
        <v>0</v>
      </c>
      <c r="G25" s="66">
        <f>SUM(H25/D25*100)</f>
        <v>100</v>
      </c>
      <c r="H25" s="83">
        <v>5000</v>
      </c>
    </row>
    <row r="26" spans="1:8" ht="13.5" thickBot="1" x14ac:dyDescent="0.25">
      <c r="A26" s="420" t="s">
        <v>63</v>
      </c>
      <c r="B26" s="421"/>
      <c r="C26" s="301">
        <f>SUM(C23:C25)</f>
        <v>0</v>
      </c>
      <c r="D26" s="347">
        <f>SUM(D23:D25)</f>
        <v>1458000</v>
      </c>
      <c r="E26" s="301">
        <f>SUM(E23:E25)</f>
        <v>1835383</v>
      </c>
      <c r="F26" s="347">
        <f>SUM(F23:F25)</f>
        <v>430000</v>
      </c>
      <c r="G26" s="300">
        <f>SUM(H26/D26*100)</f>
        <v>129.49245541838135</v>
      </c>
      <c r="H26" s="72">
        <f>SUM(H23:H25)</f>
        <v>1888000</v>
      </c>
    </row>
    <row r="27" spans="1:8" ht="24.95" customHeight="1" thickBot="1" x14ac:dyDescent="0.25">
      <c r="A27" s="84"/>
      <c r="B27" s="84"/>
      <c r="C27" s="84"/>
      <c r="D27" s="84"/>
      <c r="E27" s="84"/>
      <c r="F27" s="85"/>
      <c r="G27" s="86"/>
      <c r="H27" s="85"/>
    </row>
    <row r="28" spans="1:8" ht="13.5" thickBot="1" x14ac:dyDescent="0.25">
      <c r="A28" s="420" t="s">
        <v>64</v>
      </c>
      <c r="B28" s="421"/>
      <c r="C28" s="301">
        <f>SUM(C14,C19,C26)</f>
        <v>115577100</v>
      </c>
      <c r="D28" s="347">
        <f>SUM(D14,D19,D26)</f>
        <v>122167800</v>
      </c>
      <c r="E28" s="347">
        <f>SUM(E14,E19,E26)</f>
        <v>91231959</v>
      </c>
      <c r="F28" s="347">
        <f>SUM(F14,F19,F26)</f>
        <v>75575</v>
      </c>
      <c r="G28" s="73">
        <f>H28/D28*100</f>
        <v>100.06186163620856</v>
      </c>
      <c r="H28" s="331">
        <f>H14+H26+H19</f>
        <v>122243375</v>
      </c>
    </row>
    <row r="31" spans="1:8" x14ac:dyDescent="0.2">
      <c r="H31" s="19">
        <f>H28-'Kiadások COFOG szerint'!H99</f>
        <v>0</v>
      </c>
    </row>
  </sheetData>
  <mergeCells count="20">
    <mergeCell ref="A19:B19"/>
    <mergeCell ref="A15:H15"/>
    <mergeCell ref="A16:A17"/>
    <mergeCell ref="B16:B17"/>
    <mergeCell ref="C16:H16"/>
    <mergeCell ref="A2:H2"/>
    <mergeCell ref="A14:B14"/>
    <mergeCell ref="A3:H3"/>
    <mergeCell ref="A6:H6"/>
    <mergeCell ref="A7:A8"/>
    <mergeCell ref="B7:B8"/>
    <mergeCell ref="A10:A12"/>
    <mergeCell ref="A5:H5"/>
    <mergeCell ref="C7:H7"/>
    <mergeCell ref="A28:B28"/>
    <mergeCell ref="A20:H20"/>
    <mergeCell ref="A21:A22"/>
    <mergeCell ref="B21:B22"/>
    <mergeCell ref="A26:B26"/>
    <mergeCell ref="C21:H21"/>
  </mergeCells>
  <phoneticPr fontId="0" type="noConversion"/>
  <pageMargins left="1" right="1" top="1" bottom="1" header="0.5" footer="0.5"/>
  <pageSetup paperSize="9" scale="68" orientation="portrait" r:id="rId1"/>
  <headerFooter alignWithMargins="0">
    <oddHeader>&amp;LPiliscsévi "Aranykapu" Egységes Óvoda-Bölcsőde&amp;RIV/2.a) számú melléklet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47"/>
  <sheetViews>
    <sheetView showGridLines="0" tabSelected="1" topLeftCell="A13" zoomScaleNormal="100" workbookViewId="0">
      <selection activeCell="O27" sqref="O27"/>
    </sheetView>
  </sheetViews>
  <sheetFormatPr defaultRowHeight="12.75" x14ac:dyDescent="0.2"/>
  <cols>
    <col min="1" max="1" width="12.28515625" customWidth="1"/>
    <col min="2" max="2" width="38.140625" customWidth="1"/>
    <col min="3" max="5" width="15.140625" customWidth="1"/>
    <col min="6" max="6" width="13.140625" customWidth="1"/>
    <col min="7" max="7" width="7.28515625" customWidth="1"/>
    <col min="8" max="8" width="17" customWidth="1"/>
    <col min="9" max="10" width="10.140625" bestFit="1" customWidth="1"/>
  </cols>
  <sheetData>
    <row r="1" spans="1:9" x14ac:dyDescent="0.2">
      <c r="G1" s="4"/>
      <c r="H1" s="4"/>
    </row>
    <row r="2" spans="1:9" x14ac:dyDescent="0.2">
      <c r="A2" s="422" t="s">
        <v>177</v>
      </c>
      <c r="B2" s="422"/>
      <c r="C2" s="422"/>
      <c r="D2" s="422"/>
      <c r="E2" s="422"/>
      <c r="F2" s="422"/>
      <c r="G2" s="422"/>
      <c r="H2" s="422"/>
    </row>
    <row r="3" spans="1:9" x14ac:dyDescent="0.2">
      <c r="A3" s="422" t="s">
        <v>161</v>
      </c>
      <c r="B3" s="422"/>
      <c r="C3" s="422"/>
      <c r="D3" s="422"/>
      <c r="E3" s="422"/>
      <c r="F3" s="422"/>
      <c r="G3" s="422"/>
      <c r="H3" s="422"/>
    </row>
    <row r="4" spans="1:9" ht="13.5" thickBot="1" x14ac:dyDescent="0.25">
      <c r="H4" s="6" t="s">
        <v>48</v>
      </c>
    </row>
    <row r="5" spans="1:9" ht="21.75" customHeight="1" thickBot="1" x14ac:dyDescent="0.25">
      <c r="A5" s="444" t="s">
        <v>38</v>
      </c>
      <c r="B5" s="445"/>
      <c r="C5" s="445"/>
      <c r="D5" s="445"/>
      <c r="E5" s="445"/>
      <c r="F5" s="445"/>
      <c r="G5" s="445"/>
      <c r="H5" s="446"/>
    </row>
    <row r="6" spans="1:9" ht="15.75" customHeight="1" x14ac:dyDescent="0.2">
      <c r="A6" s="447" t="s">
        <v>0</v>
      </c>
      <c r="B6" s="449" t="s">
        <v>18</v>
      </c>
      <c r="C6" s="451">
        <v>2023</v>
      </c>
      <c r="D6" s="452"/>
      <c r="E6" s="452"/>
      <c r="F6" s="452"/>
      <c r="G6" s="452"/>
      <c r="H6" s="453"/>
    </row>
    <row r="7" spans="1:9" ht="30.75" customHeight="1" thickBot="1" x14ac:dyDescent="0.25">
      <c r="A7" s="448"/>
      <c r="B7" s="450"/>
      <c r="C7" s="87" t="s">
        <v>58</v>
      </c>
      <c r="D7" s="87" t="s">
        <v>172</v>
      </c>
      <c r="E7" s="368" t="s">
        <v>180</v>
      </c>
      <c r="F7" s="87" t="s">
        <v>116</v>
      </c>
      <c r="G7" s="87" t="s">
        <v>57</v>
      </c>
      <c r="H7" s="88" t="s">
        <v>178</v>
      </c>
    </row>
    <row r="8" spans="1:9" ht="22.5" customHeight="1" x14ac:dyDescent="0.2">
      <c r="A8" s="289" t="s">
        <v>4</v>
      </c>
      <c r="B8" s="290" t="s">
        <v>21</v>
      </c>
      <c r="C8" s="291">
        <f>SUM('Kiadások COFOG szerint'!C9,'Kiadások COFOG szerint'!C26,'Kiadások COFOG szerint'!C71,'Kiadások COFOG szerint'!C85)</f>
        <v>76400000</v>
      </c>
      <c r="D8" s="291">
        <v>76400000</v>
      </c>
      <c r="E8" s="291">
        <f>SUM('Kiadások COFOG szerint'!E9+'Kiadások COFOG szerint'!E26+'Kiadások COFOG szerint'!E71+'Kiadások COFOG szerint'!E85)</f>
        <v>54527881</v>
      </c>
      <c r="F8" s="291">
        <f>H8-D8</f>
        <v>0</v>
      </c>
      <c r="G8" s="166">
        <f>H8/C8*100</f>
        <v>100</v>
      </c>
      <c r="H8" s="292">
        <f>SUM('Kiadások COFOG szerint'!H9,'Kiadások COFOG szerint'!H26,'Kiadások COFOG szerint'!H71,'Kiadások COFOG szerint'!H85)</f>
        <v>76400000</v>
      </c>
      <c r="I8" s="11"/>
    </row>
    <row r="9" spans="1:9" ht="22.5" customHeight="1" x14ac:dyDescent="0.2">
      <c r="A9" s="89" t="s">
        <v>114</v>
      </c>
      <c r="B9" s="90" t="s">
        <v>115</v>
      </c>
      <c r="C9" s="91">
        <f>SUM('Kiadások COFOG szerint'!C10,'Kiadások COFOG szerint'!C27,'Kiadások COFOG szerint'!C72,'Kiadások COFOG szerint'!C86)</f>
        <v>0</v>
      </c>
      <c r="D9" s="91">
        <v>0</v>
      </c>
      <c r="E9" s="91">
        <f>SUM('Kiadások COFOG szerint'!F10+'Kiadások COFOG szerint'!F27+'Kiadások COFOG szerint'!E72+'Kiadások COFOG szerint'!E86)</f>
        <v>0</v>
      </c>
      <c r="F9" s="91">
        <f>H9-D9</f>
        <v>0</v>
      </c>
      <c r="G9" s="92">
        <v>0</v>
      </c>
      <c r="H9" s="93">
        <f>SUM('Kiadások COFOG szerint'!H10,'Kiadások COFOG szerint'!H27,'Kiadások COFOG szerint'!H72,'Kiadások COFOG szerint'!H86)</f>
        <v>0</v>
      </c>
      <c r="I9" s="11"/>
    </row>
    <row r="10" spans="1:9" ht="22.5" customHeight="1" x14ac:dyDescent="0.2">
      <c r="A10" s="89" t="s">
        <v>163</v>
      </c>
      <c r="B10" s="48" t="s">
        <v>164</v>
      </c>
      <c r="C10" s="91">
        <f>SUM('Kiadások COFOG szerint'!C11+'Kiadások COFOG szerint'!C87)</f>
        <v>400000</v>
      </c>
      <c r="D10" s="91">
        <v>400000</v>
      </c>
      <c r="E10" s="91">
        <f>SUM('Kiadások COFOG szerint'!E11+'Kiadások COFOG szerint'!E87)</f>
        <v>26062</v>
      </c>
      <c r="F10" s="91">
        <f t="shared" ref="F10:F17" si="0">H10-D10</f>
        <v>0</v>
      </c>
      <c r="G10" s="288">
        <f>SUM('Kiadások COFOG szerint'!G11+'Kiadások COFOG szerint'!G87)</f>
        <v>100</v>
      </c>
      <c r="H10" s="293">
        <f>SUM('Kiadások COFOG szerint'!H11+'Kiadások COFOG szerint'!H87)</f>
        <v>400000</v>
      </c>
      <c r="I10" s="11"/>
    </row>
    <row r="11" spans="1:9" ht="22.5" customHeight="1" x14ac:dyDescent="0.2">
      <c r="A11" s="89" t="s">
        <v>105</v>
      </c>
      <c r="B11" s="90" t="s">
        <v>104</v>
      </c>
      <c r="C11" s="91">
        <f>SUM('Kiadások COFOG szerint'!C28)</f>
        <v>0</v>
      </c>
      <c r="D11" s="91">
        <v>0</v>
      </c>
      <c r="E11" s="91">
        <f>SUM('Kiadások COFOG szerint'!E28)</f>
        <v>0</v>
      </c>
      <c r="F11" s="91">
        <f t="shared" si="0"/>
        <v>960000</v>
      </c>
      <c r="G11" s="92">
        <v>0</v>
      </c>
      <c r="H11" s="93">
        <f>SUM('Kiadások COFOG szerint'!H88)</f>
        <v>960000</v>
      </c>
      <c r="I11" s="11"/>
    </row>
    <row r="12" spans="1:9" ht="22.5" customHeight="1" x14ac:dyDescent="0.2">
      <c r="A12" s="94" t="s">
        <v>66</v>
      </c>
      <c r="B12" s="95" t="s">
        <v>67</v>
      </c>
      <c r="C12" s="91">
        <f>SUM('Kiadások COFOG szerint'!C12,'Kiadások COFOG szerint'!C29,'Kiadások COFOG szerint'!C73,'Kiadások COFOG szerint'!C89)</f>
        <v>1160000</v>
      </c>
      <c r="D12" s="91">
        <v>1160000</v>
      </c>
      <c r="E12" s="91">
        <f>SUM('Kiadások COFOG szerint'!E12+'Kiadások COFOG szerint'!E29+'Kiadások COFOG szerint'!E73+'Kiadások COFOG szerint'!E89)</f>
        <v>1160000</v>
      </c>
      <c r="F12" s="91">
        <f t="shared" si="0"/>
        <v>0</v>
      </c>
      <c r="G12" s="92">
        <v>0</v>
      </c>
      <c r="H12" s="96">
        <f>SUM('Kiadások COFOG szerint'!H12,'Kiadások COFOG szerint'!H29,'Kiadások COFOG szerint'!H73,'Kiadások COFOG szerint'!H89)</f>
        <v>1160000</v>
      </c>
    </row>
    <row r="13" spans="1:9" ht="22.5" customHeight="1" x14ac:dyDescent="0.2">
      <c r="A13" s="94" t="s">
        <v>5</v>
      </c>
      <c r="B13" s="95" t="s">
        <v>22</v>
      </c>
      <c r="C13" s="91">
        <f>SUM('Kiadások COFOG szerint'!C13,'Kiadások COFOG szerint'!C30)</f>
        <v>250000</v>
      </c>
      <c r="D13" s="91">
        <v>250000</v>
      </c>
      <c r="E13" s="91">
        <f>SUM('Kiadások COFOG szerint'!E13+'Kiadások COFOG szerint'!E30)</f>
        <v>196814</v>
      </c>
      <c r="F13" s="91">
        <f t="shared" si="0"/>
        <v>0</v>
      </c>
      <c r="G13" s="92">
        <f>H13/C13*100</f>
        <v>100</v>
      </c>
      <c r="H13" s="96">
        <f>SUM('Kiadások COFOG szerint'!H13,'Kiadások COFOG szerint'!H30)</f>
        <v>250000</v>
      </c>
      <c r="I13" s="11"/>
    </row>
    <row r="14" spans="1:9" ht="22.5" customHeight="1" x14ac:dyDescent="0.2">
      <c r="A14" s="94" t="s">
        <v>6</v>
      </c>
      <c r="B14" s="95" t="s">
        <v>23</v>
      </c>
      <c r="C14" s="91">
        <f>SUM('Kiadások COFOG szerint'!C14,'Kiadások COFOG szerint'!C31,'Kiadások COFOG szerint'!C74,'Kiadások COFOG szerint'!C90)</f>
        <v>0</v>
      </c>
      <c r="D14" s="91">
        <v>0</v>
      </c>
      <c r="E14" s="91">
        <f>SUM('Kiadások COFOG szerint'!E14+'Kiadások COFOG szerint'!E31+'Kiadások COFOG szerint'!E74+'Kiadások COFOG szerint'!E90)</f>
        <v>0</v>
      </c>
      <c r="F14" s="91">
        <f t="shared" si="0"/>
        <v>0</v>
      </c>
      <c r="G14" s="92">
        <v>0</v>
      </c>
      <c r="H14" s="96">
        <f>SUM('Kiadások COFOG szerint'!H14,'Kiadások COFOG szerint'!H31,'Kiadások COFOG szerint'!H74,'Kiadások COFOG szerint'!H90)</f>
        <v>0</v>
      </c>
      <c r="I14" s="11"/>
    </row>
    <row r="15" spans="1:9" ht="22.5" customHeight="1" x14ac:dyDescent="0.2">
      <c r="A15" s="94" t="s">
        <v>7</v>
      </c>
      <c r="B15" s="95" t="s">
        <v>24</v>
      </c>
      <c r="C15" s="91">
        <f>SUM('Kiadások COFOG szerint'!C15,'Kiadások COFOG szerint'!C32,'Kiadások COFOG szerint'!C75,'Kiadások COFOG szerint'!C91)</f>
        <v>3750000</v>
      </c>
      <c r="D15" s="91">
        <v>3750000</v>
      </c>
      <c r="E15" s="91">
        <f>SUM('Kiadások COFOG szerint'!E15+'Kiadások COFOG szerint'!E32+'Kiadások COFOG szerint'!E75+'Kiadások COFOG szerint'!E91)</f>
        <v>902686</v>
      </c>
      <c r="F15" s="91">
        <f t="shared" si="0"/>
        <v>0</v>
      </c>
      <c r="G15" s="92">
        <f>H15/C15*100</f>
        <v>100</v>
      </c>
      <c r="H15" s="96">
        <f>SUM('Kiadások COFOG szerint'!H15,'Kiadások COFOG szerint'!H32,'Kiadások COFOG szerint'!H75,'Kiadások COFOG szerint'!H91)</f>
        <v>3750000</v>
      </c>
    </row>
    <row r="16" spans="1:9" ht="22.5" customHeight="1" x14ac:dyDescent="0.2">
      <c r="A16" s="94" t="s">
        <v>8</v>
      </c>
      <c r="B16" s="95" t="s">
        <v>122</v>
      </c>
      <c r="C16" s="192">
        <f>SUM('Kiadások COFOG szerint'!C16,'Kiadások COFOG szerint'!C33,'Kiadások COFOG szerint'!C76,'Kiadások COFOG szerint'!C92)</f>
        <v>2600000</v>
      </c>
      <c r="D16" s="91">
        <v>3550000</v>
      </c>
      <c r="E16" s="91">
        <f>SUM('Kiadások COFOG szerint'!E16+'Kiadások COFOG szerint'!E33+'Kiadások COFOG szerint'!E76+'Kiadások COFOG szerint'!E92)</f>
        <v>2084000</v>
      </c>
      <c r="F16" s="91">
        <f t="shared" si="0"/>
        <v>-960000</v>
      </c>
      <c r="G16" s="92">
        <v>0</v>
      </c>
      <c r="H16" s="96">
        <f>SUM('Kiadások COFOG szerint'!H16,'Kiadások COFOG szerint'!H33,'Kiadások COFOG szerint'!H76,'Kiadások COFOG szerint'!H92)</f>
        <v>2590000</v>
      </c>
    </row>
    <row r="17" spans="1:12" ht="22.5" customHeight="1" thickBot="1" x14ac:dyDescent="0.25">
      <c r="A17" s="294" t="s">
        <v>119</v>
      </c>
      <c r="B17" s="295" t="s">
        <v>123</v>
      </c>
      <c r="C17" s="124">
        <f>SUM('Kiadások COFOG szerint'!C17,'Kiadások COFOG szerint'!C34)</f>
        <v>0</v>
      </c>
      <c r="D17" s="296">
        <v>150000</v>
      </c>
      <c r="E17" s="367">
        <f>SUM('Kiadások COFOG szerint'!E17+'Kiadások COFOG szerint'!E34+'Kiadások COFOG szerint'!E43)</f>
        <v>165511</v>
      </c>
      <c r="F17" s="91">
        <f t="shared" si="0"/>
        <v>20000</v>
      </c>
      <c r="G17" s="297">
        <v>0</v>
      </c>
      <c r="H17" s="298">
        <f>SUM('Kiadások COFOG szerint'!H17,'Kiadások COFOG szerint'!H34+'Kiadások COFOG szerint'!H43)</f>
        <v>170000</v>
      </c>
    </row>
    <row r="18" spans="1:12" ht="24" customHeight="1" thickBot="1" x14ac:dyDescent="0.25">
      <c r="A18" s="440" t="s">
        <v>35</v>
      </c>
      <c r="B18" s="441"/>
      <c r="C18" s="162">
        <f>SUM(C8:C17)</f>
        <v>84560000</v>
      </c>
      <c r="D18" s="162">
        <f>SUM(D8:D17)</f>
        <v>85660000</v>
      </c>
      <c r="E18" s="162">
        <f>SUM(E8:E17)</f>
        <v>59062954</v>
      </c>
      <c r="F18" s="162">
        <f>SUM(F8:F17)</f>
        <v>20000</v>
      </c>
      <c r="G18" s="100">
        <f>H18/C18*100</f>
        <v>101.32450331125828</v>
      </c>
      <c r="H18" s="99">
        <f>SUM(H8:H17)</f>
        <v>85680000</v>
      </c>
      <c r="J18" s="19"/>
    </row>
    <row r="19" spans="1:12" ht="20.100000000000001" customHeight="1" x14ac:dyDescent="0.2">
      <c r="A19" s="89" t="s">
        <v>9</v>
      </c>
      <c r="B19" s="90" t="s">
        <v>26</v>
      </c>
      <c r="C19" s="91">
        <f>SUM('Kiadások COFOG szerint'!C19,'Kiadások COFOG szerint'!C36,'Kiadások COFOG szerint'!C45,'Kiadások COFOG szerint'!C78,'Kiadások COFOG szerint'!C94)</f>
        <v>10800000</v>
      </c>
      <c r="D19" s="91">
        <v>10950000</v>
      </c>
      <c r="E19" s="91">
        <f>SUM('Kiadások COFOG szerint'!E19+'Kiadások COFOG szerint'!E36+'Kiadások COFOG szerint'!E45+'Kiadások COFOG szerint'!E78+'Kiadások COFOG szerint'!E94)</f>
        <v>6827508</v>
      </c>
      <c r="F19" s="91">
        <f>H19-D19</f>
        <v>0</v>
      </c>
      <c r="G19" s="92">
        <f>H19/C19*100</f>
        <v>101.38888888888889</v>
      </c>
      <c r="H19" s="93">
        <f>SUM('Kiadások COFOG szerint'!H19+'Kiadások COFOG szerint'!H36+'Kiadások COFOG szerint'!H78+'Kiadások COFOG szerint'!H94+'Kiadások COFOG szerint'!H46)</f>
        <v>10950000</v>
      </c>
      <c r="I19" s="11"/>
    </row>
    <row r="20" spans="1:12" ht="23.25" customHeight="1" thickBot="1" x14ac:dyDescent="0.25">
      <c r="A20" s="97" t="s">
        <v>10</v>
      </c>
      <c r="B20" s="98" t="s">
        <v>27</v>
      </c>
      <c r="C20" s="124">
        <f>SUM('Kiadások COFOG szerint'!C20+'Kiadások COFOG szerint'!C37+'Kiadások COFOG szerint'!C79+'Kiadások COFOG szerint'!C95)</f>
        <v>185000</v>
      </c>
      <c r="D20" s="317">
        <v>205000</v>
      </c>
      <c r="E20" s="367">
        <f>SUM('Kiadások COFOG szerint'!E20+'Kiadások COFOG szerint'!E37+'Kiadások COFOG szerint'!E79+'Kiadások COFOG szerint'!E95)</f>
        <v>545269</v>
      </c>
      <c r="F20" s="91">
        <f>H20-D20</f>
        <v>0</v>
      </c>
      <c r="G20" s="288">
        <f>H20/C20*100</f>
        <v>110.81081081081081</v>
      </c>
      <c r="H20" s="93">
        <f>SUM('Kiadások COFOG szerint'!H20+'Kiadások COFOG szerint'!H37+'Kiadások COFOG szerint'!H79+'Kiadások COFOG szerint'!H95)</f>
        <v>205000</v>
      </c>
      <c r="I20" s="11"/>
    </row>
    <row r="21" spans="1:12" ht="24.95" customHeight="1" thickBot="1" x14ac:dyDescent="0.25">
      <c r="A21" s="440" t="s">
        <v>36</v>
      </c>
      <c r="B21" s="441"/>
      <c r="C21" s="162">
        <f>SUM(C19:C20)</f>
        <v>10985000</v>
      </c>
      <c r="D21" s="162">
        <f>SUM(D19:D20)</f>
        <v>11155000</v>
      </c>
      <c r="E21" s="162">
        <f>SUM(E19:E20)</f>
        <v>7372777</v>
      </c>
      <c r="F21" s="162">
        <f t="shared" ref="F21" si="1">SUM(F19:F20)</f>
        <v>0</v>
      </c>
      <c r="G21" s="100">
        <f t="shared" ref="G21:G31" si="2">H21/C21*100</f>
        <v>101.54756486117434</v>
      </c>
      <c r="H21" s="99">
        <f>SUM(H19:H20)</f>
        <v>11155000</v>
      </c>
    </row>
    <row r="22" spans="1:12" ht="20.100000000000001" customHeight="1" x14ac:dyDescent="0.2">
      <c r="A22" s="213" t="s">
        <v>11</v>
      </c>
      <c r="B22" s="102" t="s">
        <v>28</v>
      </c>
      <c r="C22" s="103">
        <f>SUM('Kiadások COFOG szerint'!C47)</f>
        <v>110000</v>
      </c>
      <c r="D22" s="103">
        <v>110000</v>
      </c>
      <c r="E22" s="103">
        <f>SUM('Kiadások COFOG szerint'!E47)</f>
        <v>39771</v>
      </c>
      <c r="F22" s="103">
        <f>H22-D22</f>
        <v>-40000</v>
      </c>
      <c r="G22" s="104">
        <f t="shared" si="2"/>
        <v>63.636363636363633</v>
      </c>
      <c r="H22" s="105">
        <f>'Kiadások COFOG szerint'!H47</f>
        <v>70000</v>
      </c>
      <c r="I22" s="11"/>
    </row>
    <row r="23" spans="1:12" ht="20.100000000000001" customHeight="1" x14ac:dyDescent="0.2">
      <c r="A23" s="101" t="s">
        <v>12</v>
      </c>
      <c r="B23" s="106" t="s">
        <v>29</v>
      </c>
      <c r="C23" s="107">
        <f>SUM('Kiadások COFOG szerint'!C48)</f>
        <v>1800000</v>
      </c>
      <c r="D23" s="103">
        <v>1800000</v>
      </c>
      <c r="E23" s="103">
        <f>SUM('Kiadások COFOG szerint'!E48)</f>
        <v>1032378</v>
      </c>
      <c r="F23" s="103">
        <f>H23-D23</f>
        <v>-100000</v>
      </c>
      <c r="G23" s="104">
        <f t="shared" si="2"/>
        <v>94.444444444444443</v>
      </c>
      <c r="H23" s="108">
        <f>'Kiadások COFOG szerint'!H48</f>
        <v>1700000</v>
      </c>
      <c r="I23" s="11"/>
    </row>
    <row r="24" spans="1:12" ht="20.100000000000001" customHeight="1" x14ac:dyDescent="0.2">
      <c r="A24" s="101" t="s">
        <v>69</v>
      </c>
      <c r="B24" s="95" t="s">
        <v>70</v>
      </c>
      <c r="C24" s="107">
        <f>SUM('Kiadások COFOG szerint'!C49)</f>
        <v>108000</v>
      </c>
      <c r="D24" s="103">
        <v>108000</v>
      </c>
      <c r="E24" s="103">
        <f>SUM('Kiadások COFOG szerint'!E49)</f>
        <v>83710</v>
      </c>
      <c r="F24" s="103">
        <f t="shared" ref="F24:F32" si="3">H24-D24</f>
        <v>7200</v>
      </c>
      <c r="G24" s="104">
        <f t="shared" si="2"/>
        <v>106.66666666666667</v>
      </c>
      <c r="H24" s="96">
        <f>'Kiadások COFOG szerint'!H49</f>
        <v>115200</v>
      </c>
      <c r="I24" s="11"/>
    </row>
    <row r="25" spans="1:12" ht="20.100000000000001" customHeight="1" x14ac:dyDescent="0.2">
      <c r="A25" s="101" t="s">
        <v>72</v>
      </c>
      <c r="B25" s="110" t="s">
        <v>71</v>
      </c>
      <c r="C25" s="107">
        <f>SUM('Kiadások COFOG szerint'!C50)</f>
        <v>78000</v>
      </c>
      <c r="D25" s="103">
        <v>78000</v>
      </c>
      <c r="E25" s="103">
        <f>SUM('Kiadások COFOG szerint'!E50)</f>
        <v>45090</v>
      </c>
      <c r="F25" s="103">
        <f t="shared" si="3"/>
        <v>-6000</v>
      </c>
      <c r="G25" s="104">
        <f t="shared" si="2"/>
        <v>92.307692307692307</v>
      </c>
      <c r="H25" s="96">
        <f>'Kiadások COFOG szerint'!H50</f>
        <v>72000</v>
      </c>
      <c r="I25" s="11"/>
    </row>
    <row r="26" spans="1:12" ht="20.100000000000001" customHeight="1" x14ac:dyDescent="0.2">
      <c r="A26" s="101" t="s">
        <v>77</v>
      </c>
      <c r="B26" s="110" t="s">
        <v>95</v>
      </c>
      <c r="C26" s="107">
        <f>SUM('Kiadások COFOG szerint'!C51)</f>
        <v>3120000</v>
      </c>
      <c r="D26" s="103">
        <v>3338900</v>
      </c>
      <c r="E26" s="103">
        <f>SUM('Kiadások COFOG szerint'!E51)</f>
        <v>2276117</v>
      </c>
      <c r="F26" s="103">
        <f t="shared" si="3"/>
        <v>0</v>
      </c>
      <c r="G26" s="104">
        <f t="shared" si="2"/>
        <v>107.01602564102564</v>
      </c>
      <c r="H26" s="96">
        <f>'Kiadások COFOG szerint'!H52+'Kiadások COFOG szerint'!H53+'Kiadások COFOG szerint'!H54</f>
        <v>3338900</v>
      </c>
      <c r="I26" s="11"/>
    </row>
    <row r="27" spans="1:12" ht="20.100000000000001" customHeight="1" x14ac:dyDescent="0.2">
      <c r="A27" s="101" t="s">
        <v>75</v>
      </c>
      <c r="B27" s="110" t="s">
        <v>96</v>
      </c>
      <c r="C27" s="109">
        <f>SUM('Kiadások COFOG szerint'!C55)</f>
        <v>6800000</v>
      </c>
      <c r="D27" s="91">
        <v>9448800</v>
      </c>
      <c r="E27" s="103">
        <f>SUM('Kiadások COFOG szerint'!E55)</f>
        <v>9767944</v>
      </c>
      <c r="F27" s="103">
        <f t="shared" si="3"/>
        <v>351200</v>
      </c>
      <c r="G27" s="104">
        <f t="shared" si="2"/>
        <v>144.11764705882354</v>
      </c>
      <c r="H27" s="96">
        <f>'Kiadások COFOG szerint'!H55</f>
        <v>9800000</v>
      </c>
      <c r="I27" s="11"/>
    </row>
    <row r="28" spans="1:12" ht="20.100000000000001" customHeight="1" x14ac:dyDescent="0.2">
      <c r="A28" s="101" t="s">
        <v>107</v>
      </c>
      <c r="B28" s="110" t="s">
        <v>110</v>
      </c>
      <c r="C28" s="109">
        <f>SUM('Kiadások COFOG szerint'!C56)</f>
        <v>1430000</v>
      </c>
      <c r="D28" s="91">
        <v>1430000</v>
      </c>
      <c r="E28" s="103">
        <f>SUM('Kiadások COFOG szerint'!E56)</f>
        <v>489200</v>
      </c>
      <c r="F28" s="103">
        <f t="shared" si="3"/>
        <v>-500000</v>
      </c>
      <c r="G28" s="104">
        <f t="shared" si="2"/>
        <v>65.034965034965026</v>
      </c>
      <c r="H28" s="96">
        <f>'Kiadások COFOG szerint'!H56</f>
        <v>930000</v>
      </c>
      <c r="I28" s="11"/>
    </row>
    <row r="29" spans="1:12" ht="20.100000000000001" customHeight="1" x14ac:dyDescent="0.2">
      <c r="A29" s="111" t="s">
        <v>14</v>
      </c>
      <c r="B29" s="110" t="s">
        <v>30</v>
      </c>
      <c r="C29" s="109">
        <f>SUM('Kiadások COFOG szerint'!C57)</f>
        <v>1160000</v>
      </c>
      <c r="D29" s="91">
        <v>1160000</v>
      </c>
      <c r="E29" s="103">
        <f>SUM('Kiadások COFOG szerint'!E57)</f>
        <v>1064120</v>
      </c>
      <c r="F29" s="103">
        <f t="shared" si="3"/>
        <v>0</v>
      </c>
      <c r="G29" s="104">
        <f t="shared" si="2"/>
        <v>100</v>
      </c>
      <c r="H29" s="96">
        <f>'Kiadások COFOG szerint'!H57</f>
        <v>1160000</v>
      </c>
      <c r="I29" s="11"/>
      <c r="L29" s="11"/>
    </row>
    <row r="30" spans="1:12" ht="20.100000000000001" customHeight="1" x14ac:dyDescent="0.2">
      <c r="A30" s="146" t="s">
        <v>15</v>
      </c>
      <c r="B30" s="110" t="s">
        <v>31</v>
      </c>
      <c r="C30" s="109">
        <f>SUM('Kiadások COFOG szerint'!C58)</f>
        <v>100000</v>
      </c>
      <c r="D30" s="91">
        <v>100000</v>
      </c>
      <c r="E30" s="103">
        <f>SUM('Kiadások COFOG szerint'!E58)</f>
        <v>0</v>
      </c>
      <c r="F30" s="103">
        <f t="shared" si="3"/>
        <v>0</v>
      </c>
      <c r="G30" s="104">
        <f t="shared" si="2"/>
        <v>100</v>
      </c>
      <c r="H30" s="96">
        <f>'Kiadások COFOG szerint'!H58</f>
        <v>100000</v>
      </c>
      <c r="I30" s="11"/>
      <c r="L30" s="11"/>
    </row>
    <row r="31" spans="1:12" ht="25.5" customHeight="1" x14ac:dyDescent="0.2">
      <c r="A31" s="112" t="s">
        <v>16</v>
      </c>
      <c r="B31" s="95" t="s">
        <v>32</v>
      </c>
      <c r="C31" s="109">
        <f>SUM('Kiadások COFOG szerint'!C59)</f>
        <v>3500000</v>
      </c>
      <c r="D31" s="91">
        <v>4500000</v>
      </c>
      <c r="E31" s="103">
        <f>SUM('Kiadások COFOG szerint'!E59)</f>
        <v>3668894</v>
      </c>
      <c r="F31" s="103">
        <f t="shared" si="3"/>
        <v>-86825</v>
      </c>
      <c r="G31" s="104">
        <f t="shared" si="2"/>
        <v>126.09071428571428</v>
      </c>
      <c r="H31" s="96">
        <f>'Kiadások COFOG szerint'!H59</f>
        <v>4413175</v>
      </c>
      <c r="I31" s="11"/>
      <c r="L31" s="11"/>
    </row>
    <row r="32" spans="1:12" ht="20.100000000000001" customHeight="1" thickBot="1" x14ac:dyDescent="0.25">
      <c r="A32" s="113" t="s">
        <v>17</v>
      </c>
      <c r="B32" s="98" t="s">
        <v>33</v>
      </c>
      <c r="C32" s="109">
        <f>SUM('Kiadások COFOG szerint'!C60)</f>
        <v>10000</v>
      </c>
      <c r="D32" s="91">
        <v>10000</v>
      </c>
      <c r="E32" s="103">
        <f>SUM('Kiadások COFOG szerint'!E60)</f>
        <v>1670</v>
      </c>
      <c r="F32" s="103">
        <f t="shared" si="3"/>
        <v>0</v>
      </c>
      <c r="G32" s="104">
        <v>0</v>
      </c>
      <c r="H32" s="114">
        <f>'Kiadások COFOG szerint'!H60</f>
        <v>10000</v>
      </c>
      <c r="I32" s="11"/>
      <c r="L32" s="11"/>
    </row>
    <row r="33" spans="1:12" ht="24.95" customHeight="1" thickBot="1" x14ac:dyDescent="0.25">
      <c r="A33" s="440" t="s">
        <v>37</v>
      </c>
      <c r="B33" s="441"/>
      <c r="C33" s="162">
        <f>SUM(C22:C32)</f>
        <v>18216000</v>
      </c>
      <c r="D33" s="162">
        <f>SUM(D22:D32)</f>
        <v>22083700</v>
      </c>
      <c r="E33" s="162">
        <f>SUM(E22:E32)</f>
        <v>18468894</v>
      </c>
      <c r="F33" s="162">
        <f t="shared" ref="F33" si="4">SUM(F22:F32)</f>
        <v>-374425</v>
      </c>
      <c r="G33" s="100">
        <f>H33/C33*100</f>
        <v>119.17695981554677</v>
      </c>
      <c r="H33" s="319">
        <f>SUM(H22:H32)</f>
        <v>21709275</v>
      </c>
      <c r="L33" s="11"/>
    </row>
    <row r="34" spans="1:12" ht="24.95" hidden="1" customHeight="1" thickBot="1" x14ac:dyDescent="0.25">
      <c r="A34" s="112" t="s">
        <v>135</v>
      </c>
      <c r="B34" s="95" t="s">
        <v>136</v>
      </c>
      <c r="C34" s="109">
        <f>SUM('Kiadások COFOG szerint'!C62)</f>
        <v>0</v>
      </c>
      <c r="D34" s="109">
        <v>0</v>
      </c>
      <c r="E34" s="109"/>
      <c r="F34" s="109">
        <f>SUM('Kiadások COFOG szerint'!F62)</f>
        <v>0</v>
      </c>
      <c r="G34" s="104">
        <v>0</v>
      </c>
      <c r="H34" s="96">
        <f>SUM('Kiadások COFOG szerint'!H62)</f>
        <v>0</v>
      </c>
      <c r="L34" s="11"/>
    </row>
    <row r="35" spans="1:12" ht="24.95" hidden="1" customHeight="1" thickBot="1" x14ac:dyDescent="0.25">
      <c r="A35" s="440" t="s">
        <v>136</v>
      </c>
      <c r="B35" s="441"/>
      <c r="C35" s="322">
        <f t="shared" ref="C35:F35" si="5">SUM(C34)</f>
        <v>0</v>
      </c>
      <c r="D35" s="321">
        <f>SUM(D34)</f>
        <v>0</v>
      </c>
      <c r="E35" s="321"/>
      <c r="F35" s="321">
        <f t="shared" si="5"/>
        <v>0</v>
      </c>
      <c r="G35" s="320">
        <v>0</v>
      </c>
      <c r="H35" s="318">
        <f>SUM(H34)</f>
        <v>0</v>
      </c>
      <c r="L35" s="11"/>
    </row>
    <row r="36" spans="1:12" ht="24.95" customHeight="1" x14ac:dyDescent="0.2">
      <c r="A36" s="117" t="s">
        <v>84</v>
      </c>
      <c r="B36" s="118" t="s">
        <v>85</v>
      </c>
      <c r="C36" s="119">
        <f>SUM('Kiadások COFOG szerint'!C64)</f>
        <v>1430000</v>
      </c>
      <c r="D36" s="271">
        <v>2574095</v>
      </c>
      <c r="E36" s="271">
        <f>SUM('Kiadások COFOG szerint'!E64)</f>
        <v>0</v>
      </c>
      <c r="F36" s="271">
        <f>H36-D36</f>
        <v>339370</v>
      </c>
      <c r="G36" s="166">
        <f>H36/C36*100</f>
        <v>203.73881118881121</v>
      </c>
      <c r="H36" s="120">
        <f>'Kiadások COFOG szerint'!H64</f>
        <v>2913465</v>
      </c>
      <c r="L36" s="11"/>
    </row>
    <row r="37" spans="1:12" ht="24.95" customHeight="1" thickBot="1" x14ac:dyDescent="0.25">
      <c r="A37" s="121" t="s">
        <v>86</v>
      </c>
      <c r="B37" s="122" t="s">
        <v>88</v>
      </c>
      <c r="C37" s="123">
        <f>SUM('Kiadások COFOG szerint'!C65)</f>
        <v>386100</v>
      </c>
      <c r="D37" s="270">
        <v>695005</v>
      </c>
      <c r="E37" s="383">
        <f>SUM('Kiadások COFOG szerint'!E65)</f>
        <v>0</v>
      </c>
      <c r="F37" s="270">
        <f>H37-D37</f>
        <v>90630</v>
      </c>
      <c r="G37" s="92">
        <f>H37/C37*100</f>
        <v>203.47966847966848</v>
      </c>
      <c r="H37" s="125">
        <f>'Kiadások COFOG szerint'!H65</f>
        <v>785635</v>
      </c>
      <c r="L37" s="11"/>
    </row>
    <row r="38" spans="1:12" ht="24.95" customHeight="1" thickBot="1" x14ac:dyDescent="0.25">
      <c r="A38" s="440" t="s">
        <v>97</v>
      </c>
      <c r="B38" s="441"/>
      <c r="C38" s="162">
        <f>SUM(C36:C37)</f>
        <v>1816100</v>
      </c>
      <c r="D38" s="162">
        <f>SUM(D36:D37)</f>
        <v>3269100</v>
      </c>
      <c r="E38" s="162">
        <f>SUM(E36:E37)</f>
        <v>0</v>
      </c>
      <c r="F38" s="162">
        <f t="shared" ref="F38" si="6">SUM(F36:F37)</f>
        <v>430000</v>
      </c>
      <c r="G38" s="100">
        <f>H38/C38*100</f>
        <v>203.6837178569462</v>
      </c>
      <c r="H38" s="319">
        <f>SUM(H36:H37)</f>
        <v>3699100</v>
      </c>
      <c r="L38" s="11"/>
    </row>
    <row r="39" spans="1:12" ht="21.75" customHeight="1" thickBot="1" x14ac:dyDescent="0.25">
      <c r="A39" s="442" t="s">
        <v>1</v>
      </c>
      <c r="B39" s="443"/>
      <c r="C39" s="115">
        <f>C18+C21+C33+C38</f>
        <v>115577100</v>
      </c>
      <c r="D39" s="115">
        <f>D18+D21+D33+D38</f>
        <v>122167800</v>
      </c>
      <c r="E39" s="115">
        <f>E18+E21+E33+E38</f>
        <v>84904625</v>
      </c>
      <c r="F39" s="115">
        <f>F18+F21+F33+F38+F35</f>
        <v>75575</v>
      </c>
      <c r="G39" s="116">
        <f>H39/C39*100</f>
        <v>105.76781646191158</v>
      </c>
      <c r="H39" s="167">
        <f>SUM(H18,H21,H33,H35,H38)</f>
        <v>122243375</v>
      </c>
      <c r="I39" s="12"/>
      <c r="L39" s="11"/>
    </row>
    <row r="40" spans="1:12" x14ac:dyDescent="0.2">
      <c r="L40" s="11"/>
    </row>
    <row r="41" spans="1:12" x14ac:dyDescent="0.2">
      <c r="L41" s="11"/>
    </row>
    <row r="42" spans="1:12" x14ac:dyDescent="0.2">
      <c r="L42" s="11"/>
    </row>
    <row r="43" spans="1:12" x14ac:dyDescent="0.2">
      <c r="L43" s="11"/>
    </row>
    <row r="44" spans="1:12" x14ac:dyDescent="0.2">
      <c r="L44" s="11"/>
    </row>
    <row r="45" spans="1:12" x14ac:dyDescent="0.2">
      <c r="L45" s="11"/>
    </row>
    <row r="46" spans="1:12" x14ac:dyDescent="0.2">
      <c r="L46" s="11"/>
    </row>
    <row r="47" spans="1:12" x14ac:dyDescent="0.2">
      <c r="L47" s="11"/>
    </row>
  </sheetData>
  <sheetProtection algorithmName="SHA-512" hashValue="sgmpvPd+Zg9Ed76JMFtu9w5v1vfH2s9N8vbh4DVObI9c3A6hqG4zl/cBJOczL6DKdXbxMKBHGvwzF+sD1Ez0wg==" saltValue="oUuZI3KcAKa/LGwfbt1JWQ==" spinCount="100000" sheet="1" objects="1" scenarios="1"/>
  <mergeCells count="12">
    <mergeCell ref="A18:B18"/>
    <mergeCell ref="A21:B21"/>
    <mergeCell ref="A33:B33"/>
    <mergeCell ref="A39:B39"/>
    <mergeCell ref="A2:H2"/>
    <mergeCell ref="A3:H3"/>
    <mergeCell ref="A5:H5"/>
    <mergeCell ref="A6:A7"/>
    <mergeCell ref="B6:B7"/>
    <mergeCell ref="A38:B38"/>
    <mergeCell ref="A35:B35"/>
    <mergeCell ref="C6:H6"/>
  </mergeCells>
  <phoneticPr fontId="0" type="noConversion"/>
  <pageMargins left="0.98425196850393704" right="0.59055118110236227" top="0.59055118110236227" bottom="0.59055118110236227" header="0.51181102362204722" footer="0.51181102362204722"/>
  <pageSetup paperSize="9" scale="76" orientation="portrait" r:id="rId1"/>
  <headerFooter alignWithMargins="0">
    <oddHeader>&amp;LPiliscsévi "Aranykapu" Óvoda-Bölcsőde&amp;RIV/3. számú melléklet</oddHead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03"/>
  <sheetViews>
    <sheetView topLeftCell="A55" zoomScaleNormal="100" workbookViewId="0">
      <selection activeCell="M64" sqref="M64"/>
    </sheetView>
  </sheetViews>
  <sheetFormatPr defaultRowHeight="12.75" x14ac:dyDescent="0.2"/>
  <cols>
    <col min="1" max="1" width="11.5703125" customWidth="1"/>
    <col min="2" max="2" width="39.140625" customWidth="1"/>
    <col min="3" max="5" width="12.7109375" customWidth="1"/>
    <col min="6" max="6" width="11.42578125" customWidth="1"/>
    <col min="7" max="7" width="9.85546875" customWidth="1"/>
    <col min="8" max="8" width="15.85546875" customWidth="1"/>
    <col min="9" max="9" width="11.42578125" bestFit="1" customWidth="1"/>
    <col min="10" max="10" width="12.42578125" style="40" bestFit="1" customWidth="1"/>
    <col min="11" max="11" width="11.42578125" style="40" bestFit="1" customWidth="1"/>
    <col min="12" max="13" width="15.28515625" style="40" bestFit="1" customWidth="1"/>
    <col min="14" max="14" width="13.7109375" style="40" bestFit="1" customWidth="1"/>
    <col min="15" max="15" width="12.5703125" bestFit="1" customWidth="1"/>
    <col min="16" max="16" width="15.28515625" bestFit="1" customWidth="1"/>
  </cols>
  <sheetData>
    <row r="1" spans="1:14" x14ac:dyDescent="0.2">
      <c r="F1" s="403"/>
      <c r="G1" s="403"/>
      <c r="H1" s="403"/>
    </row>
    <row r="2" spans="1:14" x14ac:dyDescent="0.2">
      <c r="A2" s="422" t="s">
        <v>177</v>
      </c>
      <c r="B2" s="422"/>
      <c r="C2" s="422"/>
      <c r="D2" s="422"/>
      <c r="E2" s="422"/>
      <c r="F2" s="422"/>
      <c r="G2" s="422"/>
      <c r="H2" s="422"/>
    </row>
    <row r="3" spans="1:14" x14ac:dyDescent="0.2">
      <c r="A3" s="422" t="s">
        <v>161</v>
      </c>
      <c r="B3" s="422"/>
      <c r="C3" s="422"/>
      <c r="D3" s="422"/>
      <c r="E3" s="422"/>
      <c r="F3" s="422"/>
      <c r="G3" s="422"/>
      <c r="H3" s="422"/>
    </row>
    <row r="4" spans="1:14" x14ac:dyDescent="0.2">
      <c r="H4" s="6" t="s">
        <v>48</v>
      </c>
    </row>
    <row r="5" spans="1:14" ht="21.95" customHeight="1" thickBot="1" x14ac:dyDescent="0.25">
      <c r="A5" s="464" t="s">
        <v>41</v>
      </c>
      <c r="B5" s="464"/>
      <c r="C5" s="464"/>
      <c r="D5" s="464"/>
      <c r="E5" s="464"/>
      <c r="F5" s="464"/>
      <c r="G5" s="464"/>
      <c r="H5" s="464"/>
      <c r="L5" s="54"/>
      <c r="M5" s="54"/>
      <c r="N5" s="54"/>
    </row>
    <row r="6" spans="1:14" ht="21.95" customHeight="1" x14ac:dyDescent="0.2">
      <c r="A6" s="465" t="s">
        <v>102</v>
      </c>
      <c r="B6" s="466"/>
      <c r="C6" s="466"/>
      <c r="D6" s="466"/>
      <c r="E6" s="466"/>
      <c r="F6" s="466"/>
      <c r="G6" s="466"/>
      <c r="H6" s="467"/>
      <c r="J6" s="477" t="s">
        <v>145</v>
      </c>
      <c r="K6" s="477"/>
      <c r="L6" s="209"/>
    </row>
    <row r="7" spans="1:14" ht="18.75" customHeight="1" x14ac:dyDescent="0.2">
      <c r="A7" s="468" t="s">
        <v>0</v>
      </c>
      <c r="B7" s="458" t="s">
        <v>39</v>
      </c>
      <c r="C7" s="461">
        <v>2023</v>
      </c>
      <c r="D7" s="462"/>
      <c r="E7" s="462"/>
      <c r="F7" s="462"/>
      <c r="G7" s="462"/>
      <c r="H7" s="463"/>
    </row>
    <row r="8" spans="1:14" ht="25.5" customHeight="1" thickBot="1" x14ac:dyDescent="0.25">
      <c r="A8" s="469"/>
      <c r="B8" s="459"/>
      <c r="C8" s="31" t="s">
        <v>58</v>
      </c>
      <c r="D8" s="31" t="s">
        <v>172</v>
      </c>
      <c r="E8" s="163" t="s">
        <v>180</v>
      </c>
      <c r="F8" s="163" t="s">
        <v>116</v>
      </c>
      <c r="G8" s="31" t="s">
        <v>57</v>
      </c>
      <c r="H8" s="14" t="s">
        <v>178</v>
      </c>
    </row>
    <row r="9" spans="1:14" ht="21.95" customHeight="1" x14ac:dyDescent="0.2">
      <c r="A9" s="52" t="s">
        <v>4</v>
      </c>
      <c r="B9" s="174" t="s">
        <v>21</v>
      </c>
      <c r="C9" s="184">
        <v>23350000</v>
      </c>
      <c r="D9" s="184">
        <v>23350000</v>
      </c>
      <c r="E9" s="184">
        <v>16470653</v>
      </c>
      <c r="F9" s="210">
        <f>H9-D9</f>
        <v>1100000</v>
      </c>
      <c r="G9" s="38">
        <f>H9/C9*100</f>
        <v>104.71092077087793</v>
      </c>
      <c r="H9" s="10">
        <f>SUM('Részletes cofogos'!G5)</f>
        <v>24450000</v>
      </c>
      <c r="J9" s="168">
        <f>SUM(H9-E9)</f>
        <v>7979347</v>
      </c>
    </row>
    <row r="10" spans="1:14" ht="21.95" customHeight="1" x14ac:dyDescent="0.2">
      <c r="A10" s="21" t="s">
        <v>114</v>
      </c>
      <c r="B10" s="33" t="s">
        <v>113</v>
      </c>
      <c r="C10" s="180">
        <v>0</v>
      </c>
      <c r="D10" s="180">
        <v>0</v>
      </c>
      <c r="E10" s="180">
        <v>0</v>
      </c>
      <c r="F10" s="152">
        <f>H10-D10</f>
        <v>0</v>
      </c>
      <c r="G10" s="38">
        <v>0</v>
      </c>
      <c r="H10" s="10">
        <f>SUM('Részletes cofogos'!G13)</f>
        <v>0</v>
      </c>
      <c r="J10" s="168">
        <f t="shared" ref="J10:J73" si="0">SUM(H10-E10)</f>
        <v>0</v>
      </c>
    </row>
    <row r="11" spans="1:14" ht="21.95" customHeight="1" x14ac:dyDescent="0.2">
      <c r="A11" s="21" t="s">
        <v>163</v>
      </c>
      <c r="B11" s="33" t="s">
        <v>164</v>
      </c>
      <c r="C11" s="33">
        <v>0</v>
      </c>
      <c r="D11" s="33">
        <v>0</v>
      </c>
      <c r="E11" s="33">
        <v>0</v>
      </c>
      <c r="F11" s="152">
        <f t="shared" ref="F11:F17" si="1">H11-D11</f>
        <v>0</v>
      </c>
      <c r="G11" s="38">
        <v>0</v>
      </c>
      <c r="H11" s="10">
        <f>SUM('Részletes cofogos'!G14)</f>
        <v>0</v>
      </c>
      <c r="J11" s="168">
        <f t="shared" si="0"/>
        <v>0</v>
      </c>
    </row>
    <row r="12" spans="1:14" ht="21.95" customHeight="1" x14ac:dyDescent="0.2">
      <c r="A12" s="37" t="s">
        <v>66</v>
      </c>
      <c r="B12" s="34" t="s">
        <v>67</v>
      </c>
      <c r="C12" s="181">
        <v>350000</v>
      </c>
      <c r="D12" s="180">
        <v>350000</v>
      </c>
      <c r="E12" s="180">
        <v>330000</v>
      </c>
      <c r="F12" s="152">
        <f t="shared" si="1"/>
        <v>-20000</v>
      </c>
      <c r="G12" s="38">
        <v>0</v>
      </c>
      <c r="H12" s="10">
        <f>SUM('Részletes cofogos'!G15)</f>
        <v>330000</v>
      </c>
      <c r="J12" s="168">
        <f t="shared" si="0"/>
        <v>0</v>
      </c>
    </row>
    <row r="13" spans="1:14" ht="21.95" customHeight="1" x14ac:dyDescent="0.2">
      <c r="A13" s="37" t="s">
        <v>5</v>
      </c>
      <c r="B13" s="34" t="s">
        <v>22</v>
      </c>
      <c r="C13" s="181">
        <v>250000</v>
      </c>
      <c r="D13" s="180">
        <v>250000</v>
      </c>
      <c r="E13" s="180">
        <v>196814</v>
      </c>
      <c r="F13" s="152">
        <f t="shared" si="1"/>
        <v>0</v>
      </c>
      <c r="G13" s="38">
        <f>H13/C13*100</f>
        <v>100</v>
      </c>
      <c r="H13" s="10">
        <f>SUM('Részletes cofogos'!G16)</f>
        <v>250000</v>
      </c>
      <c r="J13" s="168">
        <f t="shared" si="0"/>
        <v>53186</v>
      </c>
    </row>
    <row r="14" spans="1:14" ht="21.95" customHeight="1" x14ac:dyDescent="0.2">
      <c r="A14" s="1" t="s">
        <v>6</v>
      </c>
      <c r="B14" s="34" t="s">
        <v>23</v>
      </c>
      <c r="C14" s="273">
        <v>0</v>
      </c>
      <c r="D14" s="7">
        <v>0</v>
      </c>
      <c r="E14" s="152">
        <v>0</v>
      </c>
      <c r="F14" s="152">
        <f t="shared" si="1"/>
        <v>0</v>
      </c>
      <c r="G14" s="38">
        <v>0</v>
      </c>
      <c r="H14" s="10">
        <f>SUM('Részletes cofogos'!G17)</f>
        <v>0</v>
      </c>
      <c r="J14" s="168">
        <f t="shared" si="0"/>
        <v>0</v>
      </c>
    </row>
    <row r="15" spans="1:14" ht="21.95" customHeight="1" x14ac:dyDescent="0.2">
      <c r="A15" s="1" t="s">
        <v>7</v>
      </c>
      <c r="B15" s="34" t="s">
        <v>24</v>
      </c>
      <c r="C15" s="181">
        <v>800000</v>
      </c>
      <c r="D15" s="180">
        <v>800000</v>
      </c>
      <c r="E15" s="180">
        <v>307232</v>
      </c>
      <c r="F15" s="152">
        <f t="shared" si="1"/>
        <v>0</v>
      </c>
      <c r="G15" s="38">
        <f>H15/C15*100</f>
        <v>100</v>
      </c>
      <c r="H15" s="8">
        <f>SUM('Részletes cofogos'!G19)</f>
        <v>800000</v>
      </c>
      <c r="J15" s="168">
        <f t="shared" si="0"/>
        <v>492768</v>
      </c>
    </row>
    <row r="16" spans="1:14" ht="21.95" customHeight="1" x14ac:dyDescent="0.2">
      <c r="A16" s="37" t="s">
        <v>8</v>
      </c>
      <c r="B16" s="172" t="s">
        <v>25</v>
      </c>
      <c r="C16" s="180">
        <v>2600000</v>
      </c>
      <c r="D16" s="180">
        <v>3550000</v>
      </c>
      <c r="E16" s="180">
        <v>2084000</v>
      </c>
      <c r="F16" s="152">
        <f t="shared" si="1"/>
        <v>-960000</v>
      </c>
      <c r="G16" s="38">
        <v>0</v>
      </c>
      <c r="H16" s="8">
        <f>SUM('Részletes cofogos'!G23)</f>
        <v>2590000</v>
      </c>
      <c r="J16" s="168">
        <f t="shared" si="0"/>
        <v>506000</v>
      </c>
    </row>
    <row r="17" spans="1:10" ht="21.95" customHeight="1" thickBot="1" x14ac:dyDescent="0.25">
      <c r="A17" s="175" t="s">
        <v>119</v>
      </c>
      <c r="B17" s="173" t="s">
        <v>120</v>
      </c>
      <c r="C17" s="273">
        <v>0</v>
      </c>
      <c r="D17" s="335">
        <v>150000</v>
      </c>
      <c r="E17" s="335">
        <v>0</v>
      </c>
      <c r="F17" s="152">
        <f t="shared" si="1"/>
        <v>-150000</v>
      </c>
      <c r="G17" s="43">
        <v>0</v>
      </c>
      <c r="H17" s="171">
        <f>SUM('Részletes cofogos'!G28)</f>
        <v>0</v>
      </c>
      <c r="J17" s="168">
        <f t="shared" si="0"/>
        <v>0</v>
      </c>
    </row>
    <row r="18" spans="1:10" ht="21.95" customHeight="1" thickBot="1" x14ac:dyDescent="0.25">
      <c r="A18" s="478" t="s">
        <v>35</v>
      </c>
      <c r="B18" s="460"/>
      <c r="C18" s="341">
        <f>SUM(C9:C17)</f>
        <v>27350000</v>
      </c>
      <c r="D18" s="177">
        <f>SUM(D9:D17)</f>
        <v>28450000</v>
      </c>
      <c r="E18" s="164">
        <f>SUM(E9:E17)</f>
        <v>19388699</v>
      </c>
      <c r="F18" s="177">
        <f>SUM(F9:F17)</f>
        <v>-30000</v>
      </c>
      <c r="G18" s="45">
        <f>H18/C18*100</f>
        <v>103.91224862888481</v>
      </c>
      <c r="H18" s="46">
        <f>SUM(H9:H17)</f>
        <v>28420000</v>
      </c>
      <c r="J18" s="168">
        <f t="shared" si="0"/>
        <v>9031301</v>
      </c>
    </row>
    <row r="19" spans="1:10" ht="21.95" customHeight="1" x14ac:dyDescent="0.2">
      <c r="A19" s="5" t="s">
        <v>9</v>
      </c>
      <c r="B19" s="33" t="s">
        <v>26</v>
      </c>
      <c r="C19" s="180">
        <v>3360000</v>
      </c>
      <c r="D19" s="180">
        <v>3510000</v>
      </c>
      <c r="E19" s="180">
        <v>2268951</v>
      </c>
      <c r="F19" s="210">
        <f>H19-D19</f>
        <v>-80000</v>
      </c>
      <c r="G19" s="38">
        <f>H19/C19*100</f>
        <v>102.08333333333333</v>
      </c>
      <c r="H19" s="10">
        <f>SUM('Részletes cofogos'!G30:G31)</f>
        <v>3430000</v>
      </c>
      <c r="J19" s="168">
        <f t="shared" si="0"/>
        <v>1161049</v>
      </c>
    </row>
    <row r="20" spans="1:10" ht="21.95" customHeight="1" thickBot="1" x14ac:dyDescent="0.25">
      <c r="A20" s="2" t="s">
        <v>10</v>
      </c>
      <c r="B20" s="35" t="s">
        <v>27</v>
      </c>
      <c r="C20" s="182">
        <v>55000</v>
      </c>
      <c r="D20" s="336">
        <v>75000</v>
      </c>
      <c r="E20" s="336">
        <v>66062</v>
      </c>
      <c r="F20" s="183">
        <f>H20-D20</f>
        <v>0</v>
      </c>
      <c r="G20" s="38">
        <f>H20/C20*100</f>
        <v>136.36363636363635</v>
      </c>
      <c r="H20" s="9">
        <f>SUM('Részletes cofogos'!G32:G33)</f>
        <v>75000</v>
      </c>
      <c r="J20" s="168">
        <f t="shared" si="0"/>
        <v>8938</v>
      </c>
    </row>
    <row r="21" spans="1:10" ht="21.95" customHeight="1" thickBot="1" x14ac:dyDescent="0.25">
      <c r="A21" s="456" t="s">
        <v>68</v>
      </c>
      <c r="B21" s="460"/>
      <c r="C21" s="341">
        <f>SUM(C19:C20)</f>
        <v>3415000</v>
      </c>
      <c r="D21" s="177">
        <f>SUM(D19:D20)</f>
        <v>3585000</v>
      </c>
      <c r="E21" s="164">
        <f>SUM(E19:E20)</f>
        <v>2335013</v>
      </c>
      <c r="F21" s="177">
        <f>SUM(F19:F20)</f>
        <v>-80000</v>
      </c>
      <c r="G21" s="45">
        <f>H21/C21*100</f>
        <v>102.63543191800879</v>
      </c>
      <c r="H21" s="46">
        <f>SUM(H19:H20)</f>
        <v>3505000</v>
      </c>
      <c r="J21" s="168">
        <f t="shared" si="0"/>
        <v>1169987</v>
      </c>
    </row>
    <row r="22" spans="1:10" ht="21.95" customHeight="1" thickBot="1" x14ac:dyDescent="0.25">
      <c r="A22" s="470" t="s">
        <v>40</v>
      </c>
      <c r="B22" s="471"/>
      <c r="C22" s="369">
        <f>SUM(C21,C18)</f>
        <v>30765000</v>
      </c>
      <c r="D22" s="370">
        <f>SUM(D21,D18)</f>
        <v>32035000</v>
      </c>
      <c r="E22" s="374">
        <f>SUM(E21,E18)</f>
        <v>21723712</v>
      </c>
      <c r="F22" s="370">
        <f>SUM(F21,F18)</f>
        <v>-110000</v>
      </c>
      <c r="G22" s="371">
        <f>H22/C22*100</f>
        <v>103.77051844628637</v>
      </c>
      <c r="H22" s="337">
        <f t="shared" ref="H22" si="2">H18+H21</f>
        <v>31925000</v>
      </c>
      <c r="J22" s="168">
        <f t="shared" si="0"/>
        <v>10201288</v>
      </c>
    </row>
    <row r="23" spans="1:10" ht="26.25" customHeight="1" thickBot="1" x14ac:dyDescent="0.25">
      <c r="A23" s="474" t="s">
        <v>103</v>
      </c>
      <c r="B23" s="475"/>
      <c r="C23" s="475"/>
      <c r="D23" s="475"/>
      <c r="E23" s="475"/>
      <c r="F23" s="475"/>
      <c r="G23" s="475"/>
      <c r="H23" s="476"/>
      <c r="I23" s="3"/>
      <c r="J23" s="168"/>
    </row>
    <row r="24" spans="1:10" ht="24.95" customHeight="1" x14ac:dyDescent="0.2">
      <c r="A24" s="472" t="s">
        <v>0</v>
      </c>
      <c r="B24" s="473" t="s">
        <v>39</v>
      </c>
      <c r="C24" s="461">
        <v>2023</v>
      </c>
      <c r="D24" s="462"/>
      <c r="E24" s="462"/>
      <c r="F24" s="462"/>
      <c r="G24" s="462"/>
      <c r="H24" s="463"/>
      <c r="J24" s="168"/>
    </row>
    <row r="25" spans="1:10" ht="24.95" customHeight="1" thickBot="1" x14ac:dyDescent="0.25">
      <c r="A25" s="469"/>
      <c r="B25" s="459"/>
      <c r="C25" s="31" t="s">
        <v>58</v>
      </c>
      <c r="D25" s="31" t="s">
        <v>172</v>
      </c>
      <c r="E25" s="163" t="s">
        <v>180</v>
      </c>
      <c r="F25" s="163" t="s">
        <v>116</v>
      </c>
      <c r="G25" s="31" t="s">
        <v>57</v>
      </c>
      <c r="H25" s="14" t="s">
        <v>178</v>
      </c>
      <c r="J25" s="168"/>
    </row>
    <row r="26" spans="1:10" ht="21.95" customHeight="1" x14ac:dyDescent="0.2">
      <c r="A26" s="52" t="s">
        <v>4</v>
      </c>
      <c r="B26" s="174" t="s">
        <v>21</v>
      </c>
      <c r="C26" s="184">
        <v>28450000</v>
      </c>
      <c r="D26" s="184">
        <v>28450000</v>
      </c>
      <c r="E26" s="184">
        <v>19965919</v>
      </c>
      <c r="F26" s="210">
        <f>H26-D26</f>
        <v>-1150000</v>
      </c>
      <c r="G26" s="150">
        <f>H26/C26*100</f>
        <v>95.957820738137073</v>
      </c>
      <c r="H26" s="151">
        <f>SUM('Részletes cofogos'!G39)</f>
        <v>27300000</v>
      </c>
      <c r="J26" s="168">
        <f t="shared" si="0"/>
        <v>7334081</v>
      </c>
    </row>
    <row r="27" spans="1:10" ht="21.95" customHeight="1" x14ac:dyDescent="0.2">
      <c r="A27" s="21" t="s">
        <v>112</v>
      </c>
      <c r="B27" s="33" t="s">
        <v>113</v>
      </c>
      <c r="C27" s="180">
        <v>0</v>
      </c>
      <c r="D27" s="180">
        <v>0</v>
      </c>
      <c r="E27" s="180">
        <v>0</v>
      </c>
      <c r="F27" s="7">
        <f>H27-D27</f>
        <v>0</v>
      </c>
      <c r="G27" s="47">
        <v>0</v>
      </c>
      <c r="H27" s="10">
        <f>SUM('Részletes cofogos'!G44)</f>
        <v>0</v>
      </c>
      <c r="J27" s="168">
        <f t="shared" si="0"/>
        <v>0</v>
      </c>
    </row>
    <row r="28" spans="1:10" ht="21.95" customHeight="1" x14ac:dyDescent="0.2">
      <c r="A28" s="21" t="s">
        <v>105</v>
      </c>
      <c r="B28" s="33" t="s">
        <v>104</v>
      </c>
      <c r="C28" s="180">
        <v>0</v>
      </c>
      <c r="D28" s="180">
        <v>0</v>
      </c>
      <c r="E28" s="180">
        <v>0</v>
      </c>
      <c r="F28" s="7">
        <f t="shared" ref="F28:F34" si="3">H28-D28</f>
        <v>0</v>
      </c>
      <c r="G28" s="38">
        <v>0</v>
      </c>
      <c r="H28" s="10">
        <f>SUM('Részletes cofogos'!G45)</f>
        <v>0</v>
      </c>
      <c r="J28" s="168">
        <f t="shared" si="0"/>
        <v>0</v>
      </c>
    </row>
    <row r="29" spans="1:10" ht="21.95" customHeight="1" x14ac:dyDescent="0.2">
      <c r="A29" s="37" t="s">
        <v>66</v>
      </c>
      <c r="B29" s="34" t="s">
        <v>67</v>
      </c>
      <c r="C29" s="181">
        <v>480000</v>
      </c>
      <c r="D29" s="181">
        <v>480000</v>
      </c>
      <c r="E29" s="181">
        <v>495000</v>
      </c>
      <c r="F29" s="7">
        <f t="shared" si="3"/>
        <v>15000</v>
      </c>
      <c r="G29" s="38">
        <f t="shared" ref="G29:G32" si="4">H29/C29*100</f>
        <v>103.125</v>
      </c>
      <c r="H29" s="10">
        <f>SUM('Részletes cofogos'!G46)</f>
        <v>495000</v>
      </c>
      <c r="J29" s="168">
        <f t="shared" si="0"/>
        <v>0</v>
      </c>
    </row>
    <row r="30" spans="1:10" ht="21.95" customHeight="1" x14ac:dyDescent="0.2">
      <c r="A30" s="37" t="s">
        <v>5</v>
      </c>
      <c r="B30" s="34" t="s">
        <v>22</v>
      </c>
      <c r="C30" s="181">
        <v>0</v>
      </c>
      <c r="D30" s="181">
        <v>0</v>
      </c>
      <c r="E30" s="181">
        <v>0</v>
      </c>
      <c r="F30" s="7">
        <f t="shared" si="3"/>
        <v>0</v>
      </c>
      <c r="G30" s="38">
        <v>0</v>
      </c>
      <c r="H30" s="10">
        <f>SUM('Részletes cofogos'!G47)</f>
        <v>0</v>
      </c>
      <c r="J30" s="168">
        <f t="shared" si="0"/>
        <v>0</v>
      </c>
    </row>
    <row r="31" spans="1:10" ht="21.95" customHeight="1" x14ac:dyDescent="0.2">
      <c r="A31" s="1" t="s">
        <v>6</v>
      </c>
      <c r="B31" s="34" t="s">
        <v>23</v>
      </c>
      <c r="C31" s="181">
        <v>0</v>
      </c>
      <c r="D31" s="181">
        <v>0</v>
      </c>
      <c r="E31" s="181">
        <v>0</v>
      </c>
      <c r="F31" s="7">
        <f t="shared" si="3"/>
        <v>0</v>
      </c>
      <c r="G31" s="38">
        <v>0</v>
      </c>
      <c r="H31" s="8">
        <f>SUM('Részletes cofogos'!G48)</f>
        <v>0</v>
      </c>
      <c r="J31" s="168">
        <f t="shared" si="0"/>
        <v>0</v>
      </c>
    </row>
    <row r="32" spans="1:10" ht="21.95" customHeight="1" x14ac:dyDescent="0.2">
      <c r="A32" s="1" t="s">
        <v>7</v>
      </c>
      <c r="B32" s="34" t="s">
        <v>24</v>
      </c>
      <c r="C32" s="181">
        <v>1400000</v>
      </c>
      <c r="D32" s="181">
        <v>1400000</v>
      </c>
      <c r="E32" s="181">
        <v>132000</v>
      </c>
      <c r="F32" s="7">
        <f t="shared" si="3"/>
        <v>0</v>
      </c>
      <c r="G32" s="38">
        <f t="shared" si="4"/>
        <v>100</v>
      </c>
      <c r="H32" s="8">
        <f>SUM('Részletes cofogos'!G50)</f>
        <v>1400000</v>
      </c>
      <c r="J32" s="168">
        <f t="shared" si="0"/>
        <v>1268000</v>
      </c>
    </row>
    <row r="33" spans="1:10" ht="21.95" customHeight="1" x14ac:dyDescent="0.2">
      <c r="A33" s="37" t="s">
        <v>8</v>
      </c>
      <c r="B33" s="179" t="s">
        <v>25</v>
      </c>
      <c r="C33" s="181">
        <v>0</v>
      </c>
      <c r="D33" s="181">
        <v>0</v>
      </c>
      <c r="E33" s="181">
        <v>0</v>
      </c>
      <c r="F33" s="7">
        <f t="shared" si="3"/>
        <v>0</v>
      </c>
      <c r="G33" s="47">
        <v>0</v>
      </c>
      <c r="H33" s="8">
        <f>SUM('Részletes cofogos'!G54)</f>
        <v>0</v>
      </c>
      <c r="J33" s="168">
        <f t="shared" si="0"/>
        <v>0</v>
      </c>
    </row>
    <row r="34" spans="1:10" ht="21.95" customHeight="1" thickBot="1" x14ac:dyDescent="0.25">
      <c r="A34" s="175" t="s">
        <v>119</v>
      </c>
      <c r="B34" s="173" t="s">
        <v>120</v>
      </c>
      <c r="C34" s="182">
        <v>0</v>
      </c>
      <c r="D34" s="182">
        <v>0</v>
      </c>
      <c r="E34" s="273">
        <v>0</v>
      </c>
      <c r="F34" s="7">
        <f t="shared" si="3"/>
        <v>0</v>
      </c>
      <c r="G34" s="211">
        <v>0</v>
      </c>
      <c r="H34" s="212">
        <f>SUM('Részletes cofogos'!G56)</f>
        <v>0</v>
      </c>
      <c r="J34" s="168">
        <f t="shared" si="0"/>
        <v>0</v>
      </c>
    </row>
    <row r="35" spans="1:10" ht="21.95" customHeight="1" thickBot="1" x14ac:dyDescent="0.25">
      <c r="A35" s="478" t="s">
        <v>35</v>
      </c>
      <c r="B35" s="460"/>
      <c r="C35" s="44">
        <f>SUM(C26:C34)</f>
        <v>30330000</v>
      </c>
      <c r="D35" s="51">
        <f>SUM(D26:D34)</f>
        <v>30330000</v>
      </c>
      <c r="E35" s="51">
        <f>SUM(E26:E34)</f>
        <v>20592919</v>
      </c>
      <c r="F35" s="339">
        <f>SUM(F26:F34)</f>
        <v>-1135000</v>
      </c>
      <c r="G35" s="45">
        <f>H35/C35*100</f>
        <v>96.257830530827562</v>
      </c>
      <c r="H35" s="46">
        <f>SUM(H26:H34)</f>
        <v>29195000</v>
      </c>
      <c r="J35" s="168">
        <f t="shared" si="0"/>
        <v>8602081</v>
      </c>
    </row>
    <row r="36" spans="1:10" ht="21.95" customHeight="1" x14ac:dyDescent="0.2">
      <c r="A36" s="5" t="s">
        <v>9</v>
      </c>
      <c r="B36" s="33" t="s">
        <v>26</v>
      </c>
      <c r="C36" s="210">
        <v>3950000</v>
      </c>
      <c r="D36" s="372">
        <v>3950000</v>
      </c>
      <c r="E36" s="372">
        <v>2041042</v>
      </c>
      <c r="F36" s="36">
        <f>H36-D36</f>
        <v>0</v>
      </c>
      <c r="G36" s="38">
        <f>H36/C36*100</f>
        <v>100</v>
      </c>
      <c r="H36" s="10">
        <f>SUM('Részletes cofogos'!G58:G59)</f>
        <v>3950000</v>
      </c>
      <c r="J36" s="168">
        <f t="shared" si="0"/>
        <v>1908958</v>
      </c>
    </row>
    <row r="37" spans="1:10" ht="21.95" customHeight="1" thickBot="1" x14ac:dyDescent="0.25">
      <c r="A37" s="2" t="s">
        <v>10</v>
      </c>
      <c r="B37" s="35" t="s">
        <v>27</v>
      </c>
      <c r="C37" s="191">
        <v>75000</v>
      </c>
      <c r="D37" s="284">
        <v>75000</v>
      </c>
      <c r="E37" s="373">
        <v>428957</v>
      </c>
      <c r="F37" s="36">
        <f>H37-D37</f>
        <v>0</v>
      </c>
      <c r="G37" s="38">
        <f>H37/C37*100</f>
        <v>100</v>
      </c>
      <c r="H37" s="9">
        <f>SUM('Részletes cofogos'!G60:G61)</f>
        <v>75000</v>
      </c>
      <c r="J37" s="168">
        <f t="shared" si="0"/>
        <v>-353957</v>
      </c>
    </row>
    <row r="38" spans="1:10" ht="21.95" customHeight="1" thickBot="1" x14ac:dyDescent="0.25">
      <c r="A38" s="456" t="s">
        <v>68</v>
      </c>
      <c r="B38" s="460"/>
      <c r="C38" s="44">
        <f>SUM(C36:C37)</f>
        <v>4025000</v>
      </c>
      <c r="D38" s="51">
        <f>SUM(D36:D37)</f>
        <v>4025000</v>
      </c>
      <c r="E38" s="51">
        <f>SUM(E36:E37)</f>
        <v>2469999</v>
      </c>
      <c r="F38" s="339">
        <f>SUM(F36:F37)</f>
        <v>0</v>
      </c>
      <c r="G38" s="45">
        <f>H38/C38*100</f>
        <v>100</v>
      </c>
      <c r="H38" s="315">
        <f>SUM(H36:H37)</f>
        <v>4025000</v>
      </c>
      <c r="J38" s="168">
        <f t="shared" si="0"/>
        <v>1555001</v>
      </c>
    </row>
    <row r="39" spans="1:10" ht="21.95" customHeight="1" thickBot="1" x14ac:dyDescent="0.25">
      <c r="A39" s="470" t="s">
        <v>40</v>
      </c>
      <c r="B39" s="471"/>
      <c r="C39" s="369">
        <f>C35+C38</f>
        <v>34355000</v>
      </c>
      <c r="D39" s="374">
        <f>SUM(D35+D38)</f>
        <v>34355000</v>
      </c>
      <c r="E39" s="370">
        <f>SUM(E35+E38)</f>
        <v>23062918</v>
      </c>
      <c r="F39" s="374">
        <f>F35+F38</f>
        <v>-1135000</v>
      </c>
      <c r="G39" s="371">
        <f>H39/C39*100</f>
        <v>96.696259641973512</v>
      </c>
      <c r="H39" s="337">
        <f>H35+H38</f>
        <v>33220000</v>
      </c>
      <c r="J39" s="168">
        <f t="shared" si="0"/>
        <v>10157082</v>
      </c>
    </row>
    <row r="40" spans="1:10" ht="21.95" customHeight="1" x14ac:dyDescent="0.2">
      <c r="A40" s="465" t="s">
        <v>106</v>
      </c>
      <c r="B40" s="466"/>
      <c r="C40" s="466"/>
      <c r="D40" s="466"/>
      <c r="E40" s="466"/>
      <c r="F40" s="466"/>
      <c r="G40" s="466"/>
      <c r="H40" s="467"/>
      <c r="J40" s="168"/>
    </row>
    <row r="41" spans="1:10" ht="21.95" customHeight="1" x14ac:dyDescent="0.2">
      <c r="A41" s="468" t="s">
        <v>0</v>
      </c>
      <c r="B41" s="458" t="s">
        <v>39</v>
      </c>
      <c r="C41" s="461">
        <v>2023</v>
      </c>
      <c r="D41" s="462"/>
      <c r="E41" s="462"/>
      <c r="F41" s="462"/>
      <c r="G41" s="462"/>
      <c r="H41" s="463"/>
      <c r="J41" s="168"/>
    </row>
    <row r="42" spans="1:10" ht="21.95" customHeight="1" thickBot="1" x14ac:dyDescent="0.25">
      <c r="A42" s="469"/>
      <c r="B42" s="459"/>
      <c r="C42" s="31" t="s">
        <v>58</v>
      </c>
      <c r="D42" s="31" t="s">
        <v>172</v>
      </c>
      <c r="E42" s="163" t="s">
        <v>180</v>
      </c>
      <c r="F42" s="163" t="s">
        <v>116</v>
      </c>
      <c r="G42" s="31" t="s">
        <v>57</v>
      </c>
      <c r="H42" s="14" t="s">
        <v>178</v>
      </c>
      <c r="J42" s="168"/>
    </row>
    <row r="43" spans="1:10" ht="21.95" customHeight="1" thickBot="1" x14ac:dyDescent="0.25">
      <c r="A43" s="55" t="s">
        <v>119</v>
      </c>
      <c r="B43" s="33" t="s">
        <v>120</v>
      </c>
      <c r="C43" s="305">
        <v>0</v>
      </c>
      <c r="D43" s="338">
        <v>0</v>
      </c>
      <c r="E43" s="338">
        <v>165511</v>
      </c>
      <c r="F43" s="314">
        <f>SUM(H43-D43)</f>
        <v>170000</v>
      </c>
      <c r="G43" s="306">
        <v>0</v>
      </c>
      <c r="H43" s="307">
        <f>SUM('Részletes cofogos'!G67)</f>
        <v>170000</v>
      </c>
      <c r="J43" s="168">
        <f t="shared" si="0"/>
        <v>4489</v>
      </c>
    </row>
    <row r="44" spans="1:10" ht="21.95" customHeight="1" thickBot="1" x14ac:dyDescent="0.25">
      <c r="A44" s="456" t="s">
        <v>68</v>
      </c>
      <c r="B44" s="460"/>
      <c r="C44" s="44">
        <f>SUM(C43)</f>
        <v>0</v>
      </c>
      <c r="D44" s="339">
        <f>SUM(D43)</f>
        <v>0</v>
      </c>
      <c r="E44" s="339">
        <f>SUM(E43)</f>
        <v>165511</v>
      </c>
      <c r="F44" s="316">
        <f t="shared" ref="F44:F46" si="5">SUM(F43)</f>
        <v>170000</v>
      </c>
      <c r="G44" s="45">
        <v>0</v>
      </c>
      <c r="H44" s="315">
        <f>SUM(H43)</f>
        <v>170000</v>
      </c>
      <c r="J44" s="168">
        <f t="shared" si="0"/>
        <v>4489</v>
      </c>
    </row>
    <row r="45" spans="1:10" ht="21.95" customHeight="1" thickBot="1" x14ac:dyDescent="0.25">
      <c r="A45" s="55" t="s">
        <v>9</v>
      </c>
      <c r="B45" s="33" t="s">
        <v>26</v>
      </c>
      <c r="C45" s="305">
        <v>20000</v>
      </c>
      <c r="D45" s="338">
        <v>20000</v>
      </c>
      <c r="E45" s="338">
        <v>66545</v>
      </c>
      <c r="F45" s="314">
        <f>H45-D45</f>
        <v>80000</v>
      </c>
      <c r="G45" s="306">
        <f>SUM(H45/C45*100)</f>
        <v>500</v>
      </c>
      <c r="H45" s="307">
        <f>SUM('Részletes cofogos'!G69)</f>
        <v>100000</v>
      </c>
      <c r="J45" s="168">
        <f t="shared" si="0"/>
        <v>33455</v>
      </c>
    </row>
    <row r="46" spans="1:10" ht="21.95" customHeight="1" thickBot="1" x14ac:dyDescent="0.25">
      <c r="A46" s="456" t="s">
        <v>68</v>
      </c>
      <c r="B46" s="460"/>
      <c r="C46" s="44">
        <f>SUM(C45)</f>
        <v>20000</v>
      </c>
      <c r="D46" s="339">
        <f>SUM(D45)</f>
        <v>20000</v>
      </c>
      <c r="E46" s="339">
        <f>SUM(E45)</f>
        <v>66545</v>
      </c>
      <c r="F46" s="316">
        <f t="shared" si="5"/>
        <v>80000</v>
      </c>
      <c r="G46" s="45">
        <f>SUM(H46/C46*100)</f>
        <v>500</v>
      </c>
      <c r="H46" s="315">
        <f>SUM(H45)</f>
        <v>100000</v>
      </c>
      <c r="J46" s="168">
        <f t="shared" si="0"/>
        <v>33455</v>
      </c>
    </row>
    <row r="47" spans="1:10" ht="21.95" customHeight="1" x14ac:dyDescent="0.2">
      <c r="A47" s="52" t="s">
        <v>11</v>
      </c>
      <c r="B47" s="32" t="s">
        <v>28</v>
      </c>
      <c r="C47" s="165">
        <v>110000</v>
      </c>
      <c r="D47" s="165">
        <v>110000</v>
      </c>
      <c r="E47" s="165">
        <v>39771</v>
      </c>
      <c r="F47" s="7">
        <f t="shared" ref="F47:F52" si="6">H47-D47</f>
        <v>-40000</v>
      </c>
      <c r="G47" s="47">
        <f t="shared" ref="G47:G59" si="7">H47/C47*100</f>
        <v>63.636363636363633</v>
      </c>
      <c r="H47" s="8">
        <f>SUM('Részletes cofogos'!G71)</f>
        <v>70000</v>
      </c>
      <c r="J47" s="168">
        <f t="shared" si="0"/>
        <v>30229</v>
      </c>
    </row>
    <row r="48" spans="1:10" ht="21.95" customHeight="1" x14ac:dyDescent="0.2">
      <c r="A48" s="1" t="s">
        <v>12</v>
      </c>
      <c r="B48" s="32" t="s">
        <v>29</v>
      </c>
      <c r="C48" s="165">
        <v>1800000</v>
      </c>
      <c r="D48" s="165">
        <v>1800000</v>
      </c>
      <c r="E48" s="165">
        <v>1032378</v>
      </c>
      <c r="F48" s="7">
        <f t="shared" si="6"/>
        <v>-100000</v>
      </c>
      <c r="G48" s="47">
        <f t="shared" si="7"/>
        <v>94.444444444444443</v>
      </c>
      <c r="H48" s="8">
        <f>SUM('Részletes cofogos'!G74)</f>
        <v>1700000</v>
      </c>
      <c r="J48" s="168">
        <f t="shared" si="0"/>
        <v>667622</v>
      </c>
    </row>
    <row r="49" spans="1:10" ht="21.95" customHeight="1" x14ac:dyDescent="0.2">
      <c r="A49" s="37" t="s">
        <v>69</v>
      </c>
      <c r="B49" s="32" t="s">
        <v>70</v>
      </c>
      <c r="C49" s="165">
        <v>108000</v>
      </c>
      <c r="D49" s="165">
        <v>108000</v>
      </c>
      <c r="E49" s="165">
        <v>83710</v>
      </c>
      <c r="F49" s="7">
        <f t="shared" si="6"/>
        <v>7200</v>
      </c>
      <c r="G49" s="47">
        <f t="shared" si="7"/>
        <v>106.66666666666667</v>
      </c>
      <c r="H49" s="8">
        <f>SUM('Részletes cofogos'!G81)</f>
        <v>115200</v>
      </c>
      <c r="J49" s="168">
        <f t="shared" si="0"/>
        <v>31490</v>
      </c>
    </row>
    <row r="50" spans="1:10" ht="21.95" customHeight="1" x14ac:dyDescent="0.2">
      <c r="A50" s="22" t="s">
        <v>13</v>
      </c>
      <c r="B50" s="49" t="s">
        <v>71</v>
      </c>
      <c r="C50" s="7">
        <v>78000</v>
      </c>
      <c r="D50" s="7">
        <v>78000</v>
      </c>
      <c r="E50" s="7">
        <v>45090</v>
      </c>
      <c r="F50" s="7">
        <f t="shared" si="6"/>
        <v>-6000</v>
      </c>
      <c r="G50" s="47">
        <f t="shared" si="7"/>
        <v>92.307692307692307</v>
      </c>
      <c r="H50" s="8">
        <f>SUM('Részletes cofogos'!G83)</f>
        <v>72000</v>
      </c>
      <c r="J50" s="168">
        <f t="shared" si="0"/>
        <v>26910</v>
      </c>
    </row>
    <row r="51" spans="1:10" ht="21.95" customHeight="1" x14ac:dyDescent="0.2">
      <c r="A51" s="37" t="s">
        <v>77</v>
      </c>
      <c r="B51" s="48" t="s">
        <v>121</v>
      </c>
      <c r="C51" s="7">
        <v>3120000</v>
      </c>
      <c r="D51" s="7">
        <v>3338900</v>
      </c>
      <c r="E51" s="7">
        <f>SUM(E52:E54)</f>
        <v>2276117</v>
      </c>
      <c r="F51" s="7">
        <f t="shared" si="6"/>
        <v>0</v>
      </c>
      <c r="G51" s="47">
        <f t="shared" si="7"/>
        <v>107.01602564102564</v>
      </c>
      <c r="H51" s="8">
        <f>SUM('Részletes cofogos'!G85)</f>
        <v>3338900</v>
      </c>
      <c r="J51" s="168">
        <f t="shared" si="0"/>
        <v>1062783</v>
      </c>
    </row>
    <row r="52" spans="1:10" ht="21.95" customHeight="1" x14ac:dyDescent="0.2">
      <c r="A52" s="185" t="s">
        <v>81</v>
      </c>
      <c r="B52" s="186" t="s">
        <v>78</v>
      </c>
      <c r="C52" s="187">
        <v>400000</v>
      </c>
      <c r="D52" s="187">
        <v>600000</v>
      </c>
      <c r="E52" s="187">
        <v>466502</v>
      </c>
      <c r="F52" s="187">
        <f t="shared" si="6"/>
        <v>0</v>
      </c>
      <c r="G52" s="188">
        <f t="shared" si="7"/>
        <v>150</v>
      </c>
      <c r="H52" s="187">
        <f>SUM('Részletes cofogos'!G86)</f>
        <v>600000</v>
      </c>
      <c r="J52" s="168">
        <f t="shared" si="0"/>
        <v>133498</v>
      </c>
    </row>
    <row r="53" spans="1:10" ht="21.95" customHeight="1" x14ac:dyDescent="0.2">
      <c r="A53" s="189" t="s">
        <v>80</v>
      </c>
      <c r="B53" s="186" t="s">
        <v>79</v>
      </c>
      <c r="C53" s="187">
        <v>2000000</v>
      </c>
      <c r="D53" s="187">
        <v>2138900</v>
      </c>
      <c r="E53" s="187">
        <v>1400025</v>
      </c>
      <c r="F53" s="187">
        <f t="shared" ref="F53:F54" si="8">H53-D53</f>
        <v>0</v>
      </c>
      <c r="G53" s="188">
        <f t="shared" si="7"/>
        <v>106.94500000000001</v>
      </c>
      <c r="H53" s="187">
        <f>SUM('Részletes cofogos'!G87)</f>
        <v>2138900</v>
      </c>
      <c r="J53" s="168">
        <f t="shared" si="0"/>
        <v>738875</v>
      </c>
    </row>
    <row r="54" spans="1:10" ht="21.95" customHeight="1" x14ac:dyDescent="0.2">
      <c r="A54" s="190" t="s">
        <v>82</v>
      </c>
      <c r="B54" s="186" t="s">
        <v>83</v>
      </c>
      <c r="C54" s="187">
        <v>720000</v>
      </c>
      <c r="D54" s="187">
        <v>600000</v>
      </c>
      <c r="E54" s="187">
        <v>409590</v>
      </c>
      <c r="F54" s="187">
        <f t="shared" si="8"/>
        <v>0</v>
      </c>
      <c r="G54" s="188">
        <f t="shared" si="7"/>
        <v>83.333333333333343</v>
      </c>
      <c r="H54" s="187">
        <f>SUM('Részletes cofogos'!G88)</f>
        <v>600000</v>
      </c>
      <c r="J54" s="168">
        <f t="shared" si="0"/>
        <v>190410</v>
      </c>
    </row>
    <row r="55" spans="1:10" ht="21.95" customHeight="1" x14ac:dyDescent="0.2">
      <c r="A55" s="37" t="s">
        <v>75</v>
      </c>
      <c r="B55" s="48" t="s">
        <v>76</v>
      </c>
      <c r="C55" s="7">
        <v>6800000</v>
      </c>
      <c r="D55" s="7">
        <v>9448800</v>
      </c>
      <c r="E55" s="7">
        <v>9767944</v>
      </c>
      <c r="F55" s="7">
        <f>H55-D55</f>
        <v>351200</v>
      </c>
      <c r="G55" s="47">
        <f t="shared" si="7"/>
        <v>144.11764705882354</v>
      </c>
      <c r="H55" s="8">
        <f>SUM('Részletes cofogos'!G89)</f>
        <v>9800000</v>
      </c>
      <c r="J55" s="168">
        <f t="shared" si="0"/>
        <v>32056</v>
      </c>
    </row>
    <row r="56" spans="1:10" ht="21.95" customHeight="1" x14ac:dyDescent="0.2">
      <c r="A56" s="37" t="s">
        <v>107</v>
      </c>
      <c r="B56" s="32" t="s">
        <v>108</v>
      </c>
      <c r="C56" s="165">
        <v>1430000</v>
      </c>
      <c r="D56" s="165">
        <v>1430000</v>
      </c>
      <c r="E56" s="165">
        <v>489200</v>
      </c>
      <c r="F56" s="7">
        <f t="shared" ref="F56:F60" si="9">H56-D56</f>
        <v>-500000</v>
      </c>
      <c r="G56" s="47">
        <f t="shared" si="7"/>
        <v>65.034965034965026</v>
      </c>
      <c r="H56" s="8">
        <f>SUM('Részletes cofogos'!G91)</f>
        <v>930000</v>
      </c>
      <c r="J56" s="168">
        <f t="shared" si="0"/>
        <v>440800</v>
      </c>
    </row>
    <row r="57" spans="1:10" ht="21.95" customHeight="1" x14ac:dyDescent="0.2">
      <c r="A57" s="1" t="s">
        <v>14</v>
      </c>
      <c r="B57" s="32" t="s">
        <v>30</v>
      </c>
      <c r="C57" s="165">
        <v>1160000</v>
      </c>
      <c r="D57" s="165">
        <v>1160000</v>
      </c>
      <c r="E57" s="165">
        <v>1064120</v>
      </c>
      <c r="F57" s="7">
        <f t="shared" si="9"/>
        <v>0</v>
      </c>
      <c r="G57" s="47">
        <f t="shared" si="7"/>
        <v>100</v>
      </c>
      <c r="H57" s="8">
        <f>SUM('Részletes cofogos'!G96)</f>
        <v>1160000</v>
      </c>
      <c r="J57" s="168">
        <f t="shared" si="0"/>
        <v>95880</v>
      </c>
    </row>
    <row r="58" spans="1:10" ht="21.95" customHeight="1" x14ac:dyDescent="0.2">
      <c r="A58" s="5" t="s">
        <v>15</v>
      </c>
      <c r="B58" s="48" t="s">
        <v>31</v>
      </c>
      <c r="C58" s="7">
        <v>100000</v>
      </c>
      <c r="D58" s="7">
        <v>100000</v>
      </c>
      <c r="E58" s="7">
        <v>0</v>
      </c>
      <c r="F58" s="7">
        <f t="shared" si="9"/>
        <v>0</v>
      </c>
      <c r="G58" s="47">
        <f t="shared" si="7"/>
        <v>100</v>
      </c>
      <c r="H58" s="8">
        <f>SUM('Részletes cofogos'!G100)</f>
        <v>100000</v>
      </c>
      <c r="J58" s="168">
        <f t="shared" si="0"/>
        <v>100000</v>
      </c>
    </row>
    <row r="59" spans="1:10" ht="21.95" customHeight="1" x14ac:dyDescent="0.2">
      <c r="A59" s="1" t="s">
        <v>16</v>
      </c>
      <c r="B59" s="48" t="s">
        <v>32</v>
      </c>
      <c r="C59" s="7">
        <v>3500000</v>
      </c>
      <c r="D59" s="7">
        <v>4500000</v>
      </c>
      <c r="E59" s="7">
        <v>3668894</v>
      </c>
      <c r="F59" s="7">
        <f t="shared" si="9"/>
        <v>-86825</v>
      </c>
      <c r="G59" s="47">
        <f t="shared" si="7"/>
        <v>126.09071428571428</v>
      </c>
      <c r="H59" s="8">
        <f>SUM('Részletes cofogos'!G102)</f>
        <v>4413175</v>
      </c>
      <c r="I59" s="153"/>
      <c r="J59" s="168">
        <f t="shared" si="0"/>
        <v>744281</v>
      </c>
    </row>
    <row r="60" spans="1:10" ht="21.75" customHeight="1" thickBot="1" x14ac:dyDescent="0.25">
      <c r="A60" s="2" t="s">
        <v>17</v>
      </c>
      <c r="B60" s="49" t="s">
        <v>60</v>
      </c>
      <c r="C60" s="50">
        <v>10000</v>
      </c>
      <c r="D60" s="50">
        <v>10000</v>
      </c>
      <c r="E60" s="50">
        <v>1670</v>
      </c>
      <c r="F60" s="7">
        <f t="shared" si="9"/>
        <v>0</v>
      </c>
      <c r="G60" s="47">
        <v>0</v>
      </c>
      <c r="H60" s="8">
        <f>SUM('Részletes cofogos'!G103)</f>
        <v>10000</v>
      </c>
      <c r="J60" s="168">
        <f t="shared" si="0"/>
        <v>8330</v>
      </c>
    </row>
    <row r="61" spans="1:10" ht="21.75" customHeight="1" thickBot="1" x14ac:dyDescent="0.25">
      <c r="A61" s="456" t="s">
        <v>37</v>
      </c>
      <c r="B61" s="457"/>
      <c r="C61" s="51">
        <f>SUM(C47:C51,C55:C60)</f>
        <v>18216000</v>
      </c>
      <c r="D61" s="51">
        <f>SUM(D47:D51,D55:D60)</f>
        <v>22083700</v>
      </c>
      <c r="E61" s="51">
        <f>SUM(E47:E51,E55:E60)</f>
        <v>18468894</v>
      </c>
      <c r="F61" s="51">
        <f>SUM(F47:F51,F55:F60)</f>
        <v>-374425</v>
      </c>
      <c r="G61" s="45">
        <f>SUM(H61/C61*100)</f>
        <v>119.17695981554677</v>
      </c>
      <c r="H61" s="46">
        <f>SUM(H47:H51,H55:H60)</f>
        <v>21709275</v>
      </c>
      <c r="J61" s="168">
        <f t="shared" si="0"/>
        <v>3240381</v>
      </c>
    </row>
    <row r="62" spans="1:10" ht="21.75" hidden="1" customHeight="1" thickBot="1" x14ac:dyDescent="0.25">
      <c r="A62" s="170" t="s">
        <v>135</v>
      </c>
      <c r="B62" s="208" t="s">
        <v>136</v>
      </c>
      <c r="C62" s="207">
        <v>0</v>
      </c>
      <c r="D62" s="207">
        <v>0</v>
      </c>
      <c r="E62" s="207"/>
      <c r="F62" s="207">
        <v>0</v>
      </c>
      <c r="G62" s="43">
        <v>0</v>
      </c>
      <c r="H62" s="67">
        <f>SUM('Részletes cofogos'!G105)</f>
        <v>0</v>
      </c>
      <c r="J62" s="168">
        <f t="shared" si="0"/>
        <v>0</v>
      </c>
    </row>
    <row r="63" spans="1:10" ht="21.95" hidden="1" customHeight="1" thickBot="1" x14ac:dyDescent="0.25">
      <c r="A63" s="456" t="s">
        <v>134</v>
      </c>
      <c r="B63" s="457"/>
      <c r="C63" s="51">
        <f>SUM(C62)</f>
        <v>0</v>
      </c>
      <c r="D63" s="51">
        <f>SUM(D62)</f>
        <v>0</v>
      </c>
      <c r="E63" s="51"/>
      <c r="F63" s="51">
        <f t="shared" ref="F63" si="10">SUM(F62)</f>
        <v>0</v>
      </c>
      <c r="G63" s="45">
        <v>0</v>
      </c>
      <c r="H63" s="46">
        <f>SUM(H62)</f>
        <v>0</v>
      </c>
      <c r="J63" s="168">
        <f t="shared" si="0"/>
        <v>0</v>
      </c>
    </row>
    <row r="64" spans="1:10" ht="21.95" customHeight="1" x14ac:dyDescent="0.2">
      <c r="A64" s="55" t="s">
        <v>84</v>
      </c>
      <c r="B64" s="57" t="s">
        <v>85</v>
      </c>
      <c r="C64" s="210">
        <v>1430000</v>
      </c>
      <c r="D64" s="272">
        <v>2574095</v>
      </c>
      <c r="E64" s="272">
        <v>0</v>
      </c>
      <c r="F64" s="272">
        <f>H64-D64</f>
        <v>339370</v>
      </c>
      <c r="G64" s="150">
        <f>SUM(H64/C64*100)</f>
        <v>203.73881118881121</v>
      </c>
      <c r="H64" s="151">
        <f>SUM('Részletes cofogos'!G107)</f>
        <v>2913465</v>
      </c>
      <c r="J64" s="168">
        <f t="shared" si="0"/>
        <v>2913465</v>
      </c>
    </row>
    <row r="65" spans="1:10" ht="21.95" customHeight="1" thickBot="1" x14ac:dyDescent="0.25">
      <c r="A65" s="37" t="s">
        <v>86</v>
      </c>
      <c r="B65" s="48" t="s">
        <v>88</v>
      </c>
      <c r="C65" s="7">
        <v>386100</v>
      </c>
      <c r="D65" s="50">
        <v>695005</v>
      </c>
      <c r="E65" s="50">
        <v>0</v>
      </c>
      <c r="F65" s="191">
        <f>H65-D65</f>
        <v>90630</v>
      </c>
      <c r="G65" s="38">
        <f>SUM(H65/C65*100)</f>
        <v>203.47966847966848</v>
      </c>
      <c r="H65" s="10">
        <f>SUM('Részletes cofogos'!G109)</f>
        <v>785635</v>
      </c>
      <c r="J65" s="168">
        <f t="shared" si="0"/>
        <v>785635</v>
      </c>
    </row>
    <row r="66" spans="1:10" ht="21.95" customHeight="1" thickBot="1" x14ac:dyDescent="0.25">
      <c r="A66" s="456" t="s">
        <v>87</v>
      </c>
      <c r="B66" s="457"/>
      <c r="C66" s="51">
        <f>SUM(C64:C65)</f>
        <v>1816100</v>
      </c>
      <c r="D66" s="51">
        <f>SUM(D64:D65)</f>
        <v>3269100</v>
      </c>
      <c r="E66" s="51">
        <f>SUM(E64:E65)</f>
        <v>0</v>
      </c>
      <c r="F66" s="51">
        <f>SUM(F64:F65)</f>
        <v>430000</v>
      </c>
      <c r="G66" s="45">
        <f>SUM(H66/C66*100)</f>
        <v>203.6837178569462</v>
      </c>
      <c r="H66" s="315">
        <f>SUM(H64:H65)</f>
        <v>3699100</v>
      </c>
      <c r="J66" s="168">
        <f t="shared" si="0"/>
        <v>3699100</v>
      </c>
    </row>
    <row r="67" spans="1:10" ht="21.95" customHeight="1" thickBot="1" x14ac:dyDescent="0.25">
      <c r="A67" s="454" t="s">
        <v>40</v>
      </c>
      <c r="B67" s="455"/>
      <c r="C67" s="370">
        <f t="shared" ref="C67:D67" si="11">SUM(C61+C63+C66+C46+C44)</f>
        <v>20052100</v>
      </c>
      <c r="D67" s="370">
        <f t="shared" si="11"/>
        <v>25372800</v>
      </c>
      <c r="E67" s="374">
        <f>SUM(E61+E63+E66+E46+E44)</f>
        <v>18700950</v>
      </c>
      <c r="F67" s="370">
        <f>F63+F66+F61+F46+F44</f>
        <v>305575</v>
      </c>
      <c r="G67" s="371">
        <f>SUM(H67/C67*100)</f>
        <v>128.05828317233608</v>
      </c>
      <c r="H67" s="375">
        <f>SUM(H61,H63,H66,H46+H44)</f>
        <v>25678375</v>
      </c>
      <c r="I67" s="40"/>
      <c r="J67" s="168">
        <f t="shared" si="0"/>
        <v>6977425</v>
      </c>
    </row>
    <row r="68" spans="1:10" ht="21.95" customHeight="1" x14ac:dyDescent="0.2">
      <c r="A68" s="465" t="s">
        <v>109</v>
      </c>
      <c r="B68" s="466"/>
      <c r="C68" s="466"/>
      <c r="D68" s="466"/>
      <c r="E68" s="466"/>
      <c r="F68" s="466"/>
      <c r="G68" s="466"/>
      <c r="H68" s="467"/>
      <c r="J68" s="168"/>
    </row>
    <row r="69" spans="1:10" ht="21.95" customHeight="1" x14ac:dyDescent="0.2">
      <c r="A69" s="468" t="s">
        <v>0</v>
      </c>
      <c r="B69" s="458" t="s">
        <v>39</v>
      </c>
      <c r="C69" s="461">
        <v>2023</v>
      </c>
      <c r="D69" s="462"/>
      <c r="E69" s="462"/>
      <c r="F69" s="462"/>
      <c r="G69" s="462"/>
      <c r="H69" s="463"/>
      <c r="J69" s="168"/>
    </row>
    <row r="70" spans="1:10" ht="21.95" customHeight="1" thickBot="1" x14ac:dyDescent="0.25">
      <c r="A70" s="469"/>
      <c r="B70" s="459"/>
      <c r="C70" s="31" t="s">
        <v>58</v>
      </c>
      <c r="D70" s="31" t="s">
        <v>172</v>
      </c>
      <c r="E70" s="163" t="s">
        <v>180</v>
      </c>
      <c r="F70" s="163" t="s">
        <v>116</v>
      </c>
      <c r="G70" s="31" t="s">
        <v>57</v>
      </c>
      <c r="H70" s="14" t="s">
        <v>178</v>
      </c>
      <c r="J70" s="168"/>
    </row>
    <row r="71" spans="1:10" ht="21.95" customHeight="1" x14ac:dyDescent="0.2">
      <c r="A71" s="5" t="s">
        <v>4</v>
      </c>
      <c r="B71" s="33" t="s">
        <v>21</v>
      </c>
      <c r="C71" s="210">
        <v>3900000</v>
      </c>
      <c r="D71" s="36">
        <v>3900000</v>
      </c>
      <c r="E71" s="36">
        <v>2731000</v>
      </c>
      <c r="F71" s="36">
        <f>H71-D71</f>
        <v>0</v>
      </c>
      <c r="G71" s="38">
        <f>H71/C71*100</f>
        <v>100</v>
      </c>
      <c r="H71" s="10">
        <f>SUM('Részletes cofogos'!G115)</f>
        <v>3900000</v>
      </c>
      <c r="J71" s="168">
        <f t="shared" si="0"/>
        <v>1169000</v>
      </c>
    </row>
    <row r="72" spans="1:10" ht="21.95" customHeight="1" x14ac:dyDescent="0.2">
      <c r="A72" s="21" t="s">
        <v>114</v>
      </c>
      <c r="B72" s="33" t="s">
        <v>113</v>
      </c>
      <c r="C72" s="152">
        <v>0</v>
      </c>
      <c r="D72" s="36">
        <v>0</v>
      </c>
      <c r="E72" s="36">
        <v>0</v>
      </c>
      <c r="F72" s="36">
        <f>H72-D72</f>
        <v>0</v>
      </c>
      <c r="G72" s="38">
        <v>0</v>
      </c>
      <c r="H72" s="10">
        <f>SUM('Részletes cofogos'!G117)</f>
        <v>0</v>
      </c>
      <c r="J72" s="168">
        <f t="shared" si="0"/>
        <v>0</v>
      </c>
    </row>
    <row r="73" spans="1:10" ht="21.95" customHeight="1" x14ac:dyDescent="0.2">
      <c r="A73" s="37" t="s">
        <v>66</v>
      </c>
      <c r="B73" s="34" t="s">
        <v>67</v>
      </c>
      <c r="C73" s="7">
        <v>70000</v>
      </c>
      <c r="D73" s="36">
        <v>70000</v>
      </c>
      <c r="E73" s="36">
        <v>60000</v>
      </c>
      <c r="F73" s="36">
        <f t="shared" ref="F73:F76" si="12">H73-D73</f>
        <v>-10000</v>
      </c>
      <c r="G73" s="38">
        <f t="shared" ref="G73" si="13">H73/C73*100</f>
        <v>85.714285714285708</v>
      </c>
      <c r="H73" s="10">
        <f>SUM('Részletes cofogos'!G118)</f>
        <v>60000</v>
      </c>
      <c r="J73" s="168">
        <f t="shared" si="0"/>
        <v>0</v>
      </c>
    </row>
    <row r="74" spans="1:10" ht="21.95" customHeight="1" x14ac:dyDescent="0.2">
      <c r="A74" s="1" t="s">
        <v>6</v>
      </c>
      <c r="B74" s="34" t="s">
        <v>23</v>
      </c>
      <c r="C74" s="7">
        <v>0</v>
      </c>
      <c r="D74" s="36">
        <v>0</v>
      </c>
      <c r="E74" s="36">
        <v>0</v>
      </c>
      <c r="F74" s="36">
        <f t="shared" si="12"/>
        <v>0</v>
      </c>
      <c r="G74" s="38">
        <v>0</v>
      </c>
      <c r="H74" s="10">
        <f>SUM('Részletes cofogos'!G119)</f>
        <v>0</v>
      </c>
      <c r="J74" s="168">
        <f t="shared" ref="J74:J81" si="14">SUM(H74-E74)</f>
        <v>0</v>
      </c>
    </row>
    <row r="75" spans="1:10" ht="21.95" customHeight="1" x14ac:dyDescent="0.2">
      <c r="A75" s="1" t="s">
        <v>7</v>
      </c>
      <c r="B75" s="34" t="s">
        <v>24</v>
      </c>
      <c r="C75" s="7">
        <v>250000</v>
      </c>
      <c r="D75" s="36">
        <v>250000</v>
      </c>
      <c r="E75" s="36">
        <v>158100</v>
      </c>
      <c r="F75" s="36">
        <f t="shared" si="12"/>
        <v>0</v>
      </c>
      <c r="G75" s="38">
        <f>H75/C75*100</f>
        <v>100</v>
      </c>
      <c r="H75" s="8">
        <f>SUM('Részletes cofogos'!G121)</f>
        <v>250000</v>
      </c>
      <c r="J75" s="168">
        <f t="shared" si="14"/>
        <v>91900</v>
      </c>
    </row>
    <row r="76" spans="1:10" ht="21.95" customHeight="1" thickBot="1" x14ac:dyDescent="0.25">
      <c r="A76" s="24" t="s">
        <v>8</v>
      </c>
      <c r="B76" s="41" t="s">
        <v>25</v>
      </c>
      <c r="C76" s="283">
        <v>0</v>
      </c>
      <c r="D76" s="338">
        <v>0</v>
      </c>
      <c r="E76" s="338">
        <v>0</v>
      </c>
      <c r="F76" s="36">
        <f t="shared" si="12"/>
        <v>0</v>
      </c>
      <c r="G76" s="38">
        <v>0</v>
      </c>
      <c r="H76" s="9">
        <f>SUM('Részletes cofogos'!G125)</f>
        <v>0</v>
      </c>
      <c r="J76" s="168">
        <f t="shared" si="14"/>
        <v>0</v>
      </c>
    </row>
    <row r="77" spans="1:10" ht="21.95" customHeight="1" thickBot="1" x14ac:dyDescent="0.25">
      <c r="A77" s="478" t="s">
        <v>35</v>
      </c>
      <c r="B77" s="460"/>
      <c r="C77" s="44">
        <f>SUM(C71:C76)</f>
        <v>4220000</v>
      </c>
      <c r="D77" s="51">
        <f>SUM(D71:D76)</f>
        <v>4220000</v>
      </c>
      <c r="E77" s="51">
        <f>SUM(E71:E76)</f>
        <v>2949100</v>
      </c>
      <c r="F77" s="339">
        <f>SUM(F71:F76)</f>
        <v>-10000</v>
      </c>
      <c r="G77" s="45">
        <f>H77/C77*100</f>
        <v>99.76303317535546</v>
      </c>
      <c r="H77" s="46">
        <f>SUM(H71:H76)</f>
        <v>4210000</v>
      </c>
      <c r="J77" s="168">
        <f t="shared" si="14"/>
        <v>1260900</v>
      </c>
    </row>
    <row r="78" spans="1:10" ht="21.95" customHeight="1" x14ac:dyDescent="0.2">
      <c r="A78" s="5" t="s">
        <v>9</v>
      </c>
      <c r="B78" s="33" t="s">
        <v>26</v>
      </c>
      <c r="C78" s="210">
        <v>520000</v>
      </c>
      <c r="D78" s="42">
        <v>520000</v>
      </c>
      <c r="E78" s="42">
        <v>383383</v>
      </c>
      <c r="F78" s="42">
        <f>H78-D78</f>
        <v>0</v>
      </c>
      <c r="G78" s="38">
        <f>H78/C78*100</f>
        <v>100</v>
      </c>
      <c r="H78" s="10">
        <f>SUM('Részletes cofogos'!G127:G128)</f>
        <v>520000</v>
      </c>
      <c r="J78" s="168">
        <f t="shared" si="14"/>
        <v>136617</v>
      </c>
    </row>
    <row r="79" spans="1:10" ht="21.95" customHeight="1" thickBot="1" x14ac:dyDescent="0.25">
      <c r="A79" s="2" t="s">
        <v>10</v>
      </c>
      <c r="B79" s="35" t="s">
        <v>27</v>
      </c>
      <c r="C79" s="191">
        <v>15000</v>
      </c>
      <c r="D79" s="284">
        <v>15000</v>
      </c>
      <c r="E79" s="284">
        <v>9000</v>
      </c>
      <c r="F79" s="284">
        <f>H79-D79</f>
        <v>0</v>
      </c>
      <c r="G79" s="38">
        <f>H79/C79*100</f>
        <v>100</v>
      </c>
      <c r="H79" s="10">
        <f>SUM('Részletes cofogos'!G129:G130)</f>
        <v>15000</v>
      </c>
      <c r="J79" s="168">
        <f t="shared" si="14"/>
        <v>6000</v>
      </c>
    </row>
    <row r="80" spans="1:10" ht="21.95" customHeight="1" thickBot="1" x14ac:dyDescent="0.25">
      <c r="A80" s="456" t="s">
        <v>68</v>
      </c>
      <c r="B80" s="460"/>
      <c r="C80" s="44">
        <f>SUM(C78:C79)</f>
        <v>535000</v>
      </c>
      <c r="D80" s="51">
        <f>SUM(D78:D79)</f>
        <v>535000</v>
      </c>
      <c r="E80" s="51">
        <f>SUM(E78:E79)</f>
        <v>392383</v>
      </c>
      <c r="F80" s="339">
        <f>SUM(F78:F79)</f>
        <v>0</v>
      </c>
      <c r="G80" s="45">
        <f>H80/C80*100</f>
        <v>100</v>
      </c>
      <c r="H80" s="315">
        <f>SUM(H78:H79)</f>
        <v>535000</v>
      </c>
      <c r="J80" s="168">
        <f t="shared" si="14"/>
        <v>142617</v>
      </c>
    </row>
    <row r="81" spans="1:12" ht="21.95" customHeight="1" thickBot="1" x14ac:dyDescent="0.25">
      <c r="A81" s="470" t="s">
        <v>40</v>
      </c>
      <c r="B81" s="471"/>
      <c r="C81" s="369">
        <f>C77+C80</f>
        <v>4755000</v>
      </c>
      <c r="D81" s="370">
        <f>SUM(D77+D80)</f>
        <v>4755000</v>
      </c>
      <c r="E81" s="370">
        <f>SUM(E77+E80)</f>
        <v>3341483</v>
      </c>
      <c r="F81" s="370">
        <f>F77+F80</f>
        <v>-10000</v>
      </c>
      <c r="G81" s="371">
        <f>H81/C81*100</f>
        <v>99.789695057833853</v>
      </c>
      <c r="H81" s="337">
        <f t="shared" ref="H81" si="15">H77+H80</f>
        <v>4745000</v>
      </c>
      <c r="J81" s="168">
        <f t="shared" si="14"/>
        <v>1403517</v>
      </c>
    </row>
    <row r="82" spans="1:12" ht="21.95" customHeight="1" x14ac:dyDescent="0.2">
      <c r="A82" s="465" t="s">
        <v>111</v>
      </c>
      <c r="B82" s="466"/>
      <c r="C82" s="466"/>
      <c r="D82" s="466"/>
      <c r="E82" s="466"/>
      <c r="F82" s="466"/>
      <c r="G82" s="466"/>
      <c r="H82" s="467"/>
    </row>
    <row r="83" spans="1:12" ht="21.95" customHeight="1" x14ac:dyDescent="0.2">
      <c r="A83" s="468" t="s">
        <v>0</v>
      </c>
      <c r="B83" s="458" t="s">
        <v>39</v>
      </c>
      <c r="C83" s="461">
        <v>2023</v>
      </c>
      <c r="D83" s="462"/>
      <c r="E83" s="462"/>
      <c r="F83" s="462"/>
      <c r="G83" s="462"/>
      <c r="H83" s="463"/>
    </row>
    <row r="84" spans="1:12" ht="21.95" customHeight="1" thickBot="1" x14ac:dyDescent="0.25">
      <c r="A84" s="469"/>
      <c r="B84" s="459"/>
      <c r="C84" s="31" t="s">
        <v>58</v>
      </c>
      <c r="D84" s="31" t="s">
        <v>172</v>
      </c>
      <c r="E84" s="163" t="s">
        <v>180</v>
      </c>
      <c r="F84" s="163" t="s">
        <v>116</v>
      </c>
      <c r="G84" s="31" t="s">
        <v>57</v>
      </c>
      <c r="H84" s="14" t="s">
        <v>178</v>
      </c>
      <c r="J84" s="477" t="s">
        <v>137</v>
      </c>
      <c r="K84" s="477"/>
      <c r="L84" s="209">
        <v>13023000</v>
      </c>
    </row>
    <row r="85" spans="1:12" ht="21.95" customHeight="1" x14ac:dyDescent="0.2">
      <c r="A85" s="5" t="s">
        <v>4</v>
      </c>
      <c r="B85" s="33" t="s">
        <v>21</v>
      </c>
      <c r="C85" s="285">
        <v>20700000</v>
      </c>
      <c r="D85" s="340">
        <v>20700000</v>
      </c>
      <c r="E85" s="340">
        <v>15360309</v>
      </c>
      <c r="F85" s="36">
        <f>H85-D85</f>
        <v>50000</v>
      </c>
      <c r="G85" s="38">
        <f>H85/D85*100</f>
        <v>100.2415458937198</v>
      </c>
      <c r="H85" s="10">
        <f>SUM('Részletes cofogos'!G136)</f>
        <v>20750000</v>
      </c>
      <c r="J85" s="168">
        <f>SUM(H85-E85)</f>
        <v>5389691</v>
      </c>
    </row>
    <row r="86" spans="1:12" ht="21.95" customHeight="1" x14ac:dyDescent="0.2">
      <c r="A86" s="21" t="s">
        <v>114</v>
      </c>
      <c r="B86" s="33" t="s">
        <v>113</v>
      </c>
      <c r="C86" s="286">
        <v>0</v>
      </c>
      <c r="D86" s="340">
        <v>0</v>
      </c>
      <c r="E86" s="340">
        <v>0</v>
      </c>
      <c r="F86" s="36">
        <f>H86-D86</f>
        <v>0</v>
      </c>
      <c r="G86" s="38">
        <v>0</v>
      </c>
      <c r="H86" s="10">
        <f>SUM('Részletes cofogos'!G141)</f>
        <v>0</v>
      </c>
      <c r="J86" s="168">
        <f t="shared" ref="J86:J89" si="16">SUM(H86-E86)</f>
        <v>0</v>
      </c>
    </row>
    <row r="87" spans="1:12" ht="21.95" customHeight="1" x14ac:dyDescent="0.2">
      <c r="A87" s="21" t="s">
        <v>163</v>
      </c>
      <c r="B87" s="33" t="s">
        <v>164</v>
      </c>
      <c r="C87" s="286">
        <v>400000</v>
      </c>
      <c r="D87" s="340">
        <v>400000</v>
      </c>
      <c r="E87" s="340">
        <v>26062</v>
      </c>
      <c r="F87" s="36">
        <f t="shared" ref="F87:F92" si="17">H87-D87</f>
        <v>0</v>
      </c>
      <c r="G87" s="38">
        <f>H87/D87*100</f>
        <v>100</v>
      </c>
      <c r="H87" s="10">
        <f>SUM('Részletes cofogos'!G142)</f>
        <v>400000</v>
      </c>
      <c r="J87" s="168">
        <f t="shared" si="16"/>
        <v>373938</v>
      </c>
    </row>
    <row r="88" spans="1:12" ht="21.95" customHeight="1" x14ac:dyDescent="0.2">
      <c r="A88" s="21" t="s">
        <v>105</v>
      </c>
      <c r="B88" s="33" t="s">
        <v>104</v>
      </c>
      <c r="C88" s="286">
        <v>0</v>
      </c>
      <c r="D88" s="340">
        <v>0</v>
      </c>
      <c r="E88" s="340">
        <v>0</v>
      </c>
      <c r="F88" s="36">
        <f t="shared" si="17"/>
        <v>960000</v>
      </c>
      <c r="G88" s="38">
        <v>0</v>
      </c>
      <c r="H88" s="10">
        <f>SUM('Részletes cofogos'!G143)</f>
        <v>960000</v>
      </c>
      <c r="J88" s="168">
        <f t="shared" si="16"/>
        <v>960000</v>
      </c>
    </row>
    <row r="89" spans="1:12" ht="21.95" customHeight="1" x14ac:dyDescent="0.2">
      <c r="A89" s="37" t="s">
        <v>66</v>
      </c>
      <c r="B89" s="34" t="s">
        <v>67</v>
      </c>
      <c r="C89" s="287">
        <v>260000</v>
      </c>
      <c r="D89" s="340">
        <v>260000</v>
      </c>
      <c r="E89" s="340">
        <v>275000</v>
      </c>
      <c r="F89" s="36">
        <f t="shared" si="17"/>
        <v>15000</v>
      </c>
      <c r="G89" s="38">
        <f t="shared" ref="G89:G91" si="18">H89/D89*100</f>
        <v>105.76923076923077</v>
      </c>
      <c r="H89" s="10">
        <f>SUM('Részletes cofogos'!G144)</f>
        <v>275000</v>
      </c>
      <c r="J89" s="168">
        <f t="shared" si="16"/>
        <v>0</v>
      </c>
    </row>
    <row r="90" spans="1:12" ht="21.95" customHeight="1" x14ac:dyDescent="0.2">
      <c r="A90" s="1" t="s">
        <v>6</v>
      </c>
      <c r="B90" s="34" t="s">
        <v>23</v>
      </c>
      <c r="C90" s="287">
        <v>0</v>
      </c>
      <c r="D90" s="340">
        <v>0</v>
      </c>
      <c r="E90" s="340">
        <v>0</v>
      </c>
      <c r="F90" s="36">
        <f t="shared" si="17"/>
        <v>0</v>
      </c>
      <c r="G90" s="38">
        <v>0</v>
      </c>
      <c r="H90" s="10">
        <f>SUM('Részletes cofogos'!G145)</f>
        <v>0</v>
      </c>
      <c r="J90" s="40" t="s">
        <v>118</v>
      </c>
    </row>
    <row r="91" spans="1:12" ht="21.95" customHeight="1" x14ac:dyDescent="0.2">
      <c r="A91" s="1" t="s">
        <v>7</v>
      </c>
      <c r="B91" s="34" t="s">
        <v>24</v>
      </c>
      <c r="C91" s="287">
        <v>1300000</v>
      </c>
      <c r="D91" s="340">
        <v>1300000</v>
      </c>
      <c r="E91" s="340">
        <v>305354</v>
      </c>
      <c r="F91" s="36">
        <f t="shared" si="17"/>
        <v>0</v>
      </c>
      <c r="G91" s="38">
        <f t="shared" si="18"/>
        <v>100</v>
      </c>
      <c r="H91" s="8">
        <f>SUM('Részletes cofogos'!G147)</f>
        <v>1300000</v>
      </c>
      <c r="J91" s="40" t="s">
        <v>117</v>
      </c>
    </row>
    <row r="92" spans="1:12" ht="21.95" customHeight="1" thickBot="1" x14ac:dyDescent="0.25">
      <c r="A92" s="24" t="s">
        <v>8</v>
      </c>
      <c r="B92" s="41" t="s">
        <v>25</v>
      </c>
      <c r="C92" s="283">
        <v>0</v>
      </c>
      <c r="D92" s="338">
        <v>0</v>
      </c>
      <c r="E92" s="338">
        <v>0</v>
      </c>
      <c r="F92" s="36">
        <f t="shared" si="17"/>
        <v>0</v>
      </c>
      <c r="G92" s="38">
        <v>0</v>
      </c>
      <c r="H92" s="9">
        <f>SUM('Részletes cofogos'!G151)</f>
        <v>0</v>
      </c>
    </row>
    <row r="93" spans="1:12" ht="21.95" customHeight="1" thickBot="1" x14ac:dyDescent="0.25">
      <c r="A93" s="478" t="s">
        <v>35</v>
      </c>
      <c r="B93" s="460"/>
      <c r="C93" s="44">
        <f>SUM(C85:C92)</f>
        <v>22660000</v>
      </c>
      <c r="D93" s="51">
        <f>SUM(D85:D92)</f>
        <v>22660000</v>
      </c>
      <c r="E93" s="51">
        <f>SUM(E85:E92)</f>
        <v>15966725</v>
      </c>
      <c r="F93" s="339">
        <f>SUM(F85:F92)</f>
        <v>1025000</v>
      </c>
      <c r="G93" s="45">
        <f>H93/D93*100</f>
        <v>104.5233892321271</v>
      </c>
      <c r="H93" s="46">
        <f>SUM(H85:H92)</f>
        <v>23685000</v>
      </c>
      <c r="J93" s="168">
        <f>SUM(H93-'Részletes cofogos'!G152)</f>
        <v>0</v>
      </c>
    </row>
    <row r="94" spans="1:12" ht="21.95" customHeight="1" x14ac:dyDescent="0.2">
      <c r="A94" s="5" t="s">
        <v>9</v>
      </c>
      <c r="B94" s="33" t="s">
        <v>26</v>
      </c>
      <c r="C94" s="210">
        <v>2950000</v>
      </c>
      <c r="D94" s="36">
        <v>2950000</v>
      </c>
      <c r="E94" s="36">
        <v>2067587</v>
      </c>
      <c r="F94" s="36">
        <f>H94-D94</f>
        <v>0</v>
      </c>
      <c r="G94" s="38">
        <f>H94/D94*100</f>
        <v>100</v>
      </c>
      <c r="H94" s="10">
        <f>SUM('Részletes cofogos'!G153:G154)</f>
        <v>2950000</v>
      </c>
      <c r="J94" s="168">
        <f>SUM(H94-E94)</f>
        <v>882413</v>
      </c>
    </row>
    <row r="95" spans="1:12" ht="21.95" customHeight="1" thickBot="1" x14ac:dyDescent="0.25">
      <c r="A95" s="2" t="s">
        <v>10</v>
      </c>
      <c r="B95" s="35" t="s">
        <v>27</v>
      </c>
      <c r="C95" s="191">
        <v>40000</v>
      </c>
      <c r="D95" s="42">
        <v>40000</v>
      </c>
      <c r="E95" s="42">
        <v>41250</v>
      </c>
      <c r="F95" s="36">
        <f>H95-D95</f>
        <v>0</v>
      </c>
      <c r="G95" s="38">
        <f>H95/D95*100</f>
        <v>100</v>
      </c>
      <c r="H95" s="10">
        <f>SUM('Részletes cofogos'!G155:G156)</f>
        <v>40000</v>
      </c>
      <c r="J95" s="168">
        <f t="shared" ref="J95:J97" si="19">SUM(H95-E95)</f>
        <v>-1250</v>
      </c>
    </row>
    <row r="96" spans="1:12" ht="21.95" customHeight="1" thickBot="1" x14ac:dyDescent="0.25">
      <c r="A96" s="456" t="s">
        <v>68</v>
      </c>
      <c r="B96" s="460"/>
      <c r="C96" s="44">
        <f>SUM(C94:C95)</f>
        <v>2990000</v>
      </c>
      <c r="D96" s="51">
        <f>SUM(D94:D95)</f>
        <v>2990000</v>
      </c>
      <c r="E96" s="51">
        <f>SUM(E94:E95)</f>
        <v>2108837</v>
      </c>
      <c r="F96" s="339">
        <f>SUM(F94:F95)</f>
        <v>0</v>
      </c>
      <c r="G96" s="45">
        <f>SUM(H96/D96*100)</f>
        <v>100</v>
      </c>
      <c r="H96" s="46">
        <f>SUM(H94:H95)</f>
        <v>2990000</v>
      </c>
      <c r="J96" s="168">
        <f t="shared" si="19"/>
        <v>881163</v>
      </c>
    </row>
    <row r="97" spans="1:10" ht="21.95" customHeight="1" thickBot="1" x14ac:dyDescent="0.25">
      <c r="A97" s="470" t="s">
        <v>40</v>
      </c>
      <c r="B97" s="471"/>
      <c r="C97" s="369">
        <f>C93+C96</f>
        <v>25650000</v>
      </c>
      <c r="D97" s="370">
        <f>SUM(D93+D96)</f>
        <v>25650000</v>
      </c>
      <c r="E97" s="370">
        <f>SUM(E93+E96)</f>
        <v>18075562</v>
      </c>
      <c r="F97" s="374">
        <f>F93+F96</f>
        <v>1025000</v>
      </c>
      <c r="G97" s="371">
        <f>SUM(H97/D97*100)</f>
        <v>103.99610136452242</v>
      </c>
      <c r="H97" s="337">
        <f t="shared" ref="H97" si="20">H93+H96</f>
        <v>26675000</v>
      </c>
      <c r="J97" s="168">
        <f t="shared" si="19"/>
        <v>8599438</v>
      </c>
    </row>
    <row r="98" spans="1:10" ht="21.95" customHeight="1" thickBot="1" x14ac:dyDescent="0.25">
      <c r="A98" s="18"/>
      <c r="F98" s="19"/>
      <c r="G98" s="19"/>
      <c r="H98" s="20"/>
    </row>
    <row r="99" spans="1:10" ht="21.95" customHeight="1" thickBot="1" x14ac:dyDescent="0.25">
      <c r="A99" s="15" t="s">
        <v>49</v>
      </c>
      <c r="B99" s="16"/>
      <c r="C99" s="378">
        <f>C22+C39+C67+C81+C97</f>
        <v>115577100</v>
      </c>
      <c r="D99" s="379">
        <f>D22+D39+D67+D81+D97</f>
        <v>122167800</v>
      </c>
      <c r="E99" s="379">
        <f>E22+E39+E67+E81+E97</f>
        <v>84904625</v>
      </c>
      <c r="F99" s="379">
        <f>F22+F39+F67+F81+F97</f>
        <v>75575</v>
      </c>
      <c r="G99" s="377">
        <f>SUM(H99/D99*100)</f>
        <v>100.06186163620856</v>
      </c>
      <c r="H99" s="376">
        <f>H22+H39+H67+H81+H97</f>
        <v>122243375</v>
      </c>
      <c r="J99" s="168">
        <f>SUM(H99-'Részletes cofogos'!G160)</f>
        <v>0</v>
      </c>
    </row>
    <row r="103" spans="1:10" x14ac:dyDescent="0.2">
      <c r="H103" s="19"/>
    </row>
  </sheetData>
  <autoFilter ref="A1:A99" xr:uid="{00000000-0009-0000-0000-000004000000}"/>
  <mergeCells count="44">
    <mergeCell ref="C69:H69"/>
    <mergeCell ref="C83:H83"/>
    <mergeCell ref="J84:K84"/>
    <mergeCell ref="J6:K6"/>
    <mergeCell ref="A93:B93"/>
    <mergeCell ref="A68:H68"/>
    <mergeCell ref="A69:A70"/>
    <mergeCell ref="B69:B70"/>
    <mergeCell ref="A77:B77"/>
    <mergeCell ref="A39:B39"/>
    <mergeCell ref="A40:H40"/>
    <mergeCell ref="A41:A42"/>
    <mergeCell ref="A18:B18"/>
    <mergeCell ref="A21:B21"/>
    <mergeCell ref="A38:B38"/>
    <mergeCell ref="A35:B35"/>
    <mergeCell ref="A96:B96"/>
    <mergeCell ref="A97:B97"/>
    <mergeCell ref="A80:B80"/>
    <mergeCell ref="A81:B81"/>
    <mergeCell ref="A82:H82"/>
    <mergeCell ref="A83:A84"/>
    <mergeCell ref="B83:B84"/>
    <mergeCell ref="C41:H41"/>
    <mergeCell ref="F1:H1"/>
    <mergeCell ref="A2:H2"/>
    <mergeCell ref="A3:H3"/>
    <mergeCell ref="A5:H5"/>
    <mergeCell ref="B7:B8"/>
    <mergeCell ref="A6:H6"/>
    <mergeCell ref="A7:A8"/>
    <mergeCell ref="C7:H7"/>
    <mergeCell ref="A22:B22"/>
    <mergeCell ref="A24:A25"/>
    <mergeCell ref="B24:B25"/>
    <mergeCell ref="A23:H23"/>
    <mergeCell ref="C24:H24"/>
    <mergeCell ref="A67:B67"/>
    <mergeCell ref="A66:B66"/>
    <mergeCell ref="B41:B42"/>
    <mergeCell ref="A63:B63"/>
    <mergeCell ref="A46:B46"/>
    <mergeCell ref="A61:B61"/>
    <mergeCell ref="A44:B44"/>
  </mergeCells>
  <phoneticPr fontId="6" type="noConversion"/>
  <pageMargins left="0.74803149606299213" right="0.74803149606299213" top="0.98425196850393704" bottom="0.98425196850393704" header="0.51181102362204722" footer="0.51181102362204722"/>
  <pageSetup paperSize="9" scale="64" orientation="portrait" r:id="rId1"/>
  <headerFooter alignWithMargins="0">
    <oddHeader>&amp;LPiliscsévi "Aranykapu" Egységes Óvoda-Bölcsőde&amp;RIV/3.a) számú melléklet</oddHeader>
    <oddFooter>&amp;C&amp;P/&amp;N&amp;R2020.01.hó</oddFooter>
  </headerFooter>
  <rowBreaks count="2" manualBreakCount="2">
    <brk id="39" max="5" man="1"/>
    <brk id="81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162"/>
  <sheetViews>
    <sheetView topLeftCell="A83" zoomScale="120" zoomScaleNormal="120" workbookViewId="0">
      <selection activeCell="G109" sqref="G109"/>
    </sheetView>
  </sheetViews>
  <sheetFormatPr defaultRowHeight="12.75" x14ac:dyDescent="0.2"/>
  <cols>
    <col min="1" max="1" width="12.5703125" customWidth="1"/>
    <col min="2" max="2" width="14.5703125" bestFit="1" customWidth="1"/>
    <col min="3" max="4" width="10.140625" bestFit="1" customWidth="1"/>
    <col min="5" max="5" width="12.28515625" customWidth="1"/>
    <col min="6" max="6" width="7.28515625" customWidth="1"/>
    <col min="7" max="7" width="14" customWidth="1"/>
    <col min="8" max="8" width="11.85546875" customWidth="1"/>
    <col min="10" max="10" width="10.7109375" customWidth="1"/>
    <col min="14" max="14" width="9.5703125" bestFit="1" customWidth="1"/>
  </cols>
  <sheetData>
    <row r="1" spans="1:14" ht="13.5" thickBot="1" x14ac:dyDescent="0.25">
      <c r="A1" s="464" t="s">
        <v>41</v>
      </c>
      <c r="B1" s="464"/>
      <c r="C1" s="464"/>
      <c r="D1" s="464"/>
      <c r="E1" s="464"/>
      <c r="F1" s="464"/>
      <c r="G1" s="464"/>
    </row>
    <row r="2" spans="1:14" x14ac:dyDescent="0.2">
      <c r="A2" s="465" t="s">
        <v>102</v>
      </c>
      <c r="B2" s="466"/>
      <c r="C2" s="466"/>
      <c r="D2" s="466"/>
      <c r="E2" s="466"/>
      <c r="F2" s="466"/>
      <c r="G2" s="467"/>
    </row>
    <row r="3" spans="1:14" x14ac:dyDescent="0.2">
      <c r="A3" s="468" t="s">
        <v>0</v>
      </c>
      <c r="B3" s="458" t="s">
        <v>39</v>
      </c>
      <c r="C3" s="485"/>
      <c r="D3" s="486"/>
      <c r="E3" s="486"/>
      <c r="F3" s="487"/>
      <c r="G3" s="13">
        <v>2023</v>
      </c>
    </row>
    <row r="4" spans="1:14" ht="13.5" thickBot="1" x14ac:dyDescent="0.25">
      <c r="A4" s="469"/>
      <c r="B4" s="459"/>
      <c r="C4" s="488"/>
      <c r="D4" s="489"/>
      <c r="E4" s="489"/>
      <c r="F4" s="490"/>
      <c r="G4" s="14" t="s">
        <v>178</v>
      </c>
    </row>
    <row r="5" spans="1:14" x14ac:dyDescent="0.2">
      <c r="A5" s="215" t="s">
        <v>4</v>
      </c>
      <c r="B5" s="482" t="s">
        <v>21</v>
      </c>
      <c r="C5" s="483"/>
      <c r="D5" s="484"/>
      <c r="E5" s="216"/>
      <c r="F5" s="217"/>
      <c r="G5" s="218">
        <v>24450000</v>
      </c>
      <c r="H5" s="19">
        <f>SUM(G6:G12)</f>
        <v>24044405</v>
      </c>
      <c r="J5" s="19">
        <f>SUM(G5-H5)</f>
        <v>405595</v>
      </c>
    </row>
    <row r="6" spans="1:14" ht="12.75" customHeight="1" x14ac:dyDescent="0.2">
      <c r="A6" s="5"/>
      <c r="B6" s="479" t="s">
        <v>142</v>
      </c>
      <c r="C6" s="480" t="s">
        <v>142</v>
      </c>
      <c r="D6" s="481" t="s">
        <v>142</v>
      </c>
      <c r="E6" s="7"/>
      <c r="F6" s="242"/>
      <c r="G6" s="10">
        <v>3690764</v>
      </c>
    </row>
    <row r="7" spans="1:14" x14ac:dyDescent="0.2">
      <c r="A7" s="5"/>
      <c r="B7" s="479" t="s">
        <v>138</v>
      </c>
      <c r="C7" s="480" t="s">
        <v>138</v>
      </c>
      <c r="D7" s="481" t="s">
        <v>138</v>
      </c>
      <c r="E7" s="152"/>
      <c r="F7" s="242"/>
      <c r="G7" s="10">
        <v>5195046</v>
      </c>
    </row>
    <row r="8" spans="1:14" ht="12.75" customHeight="1" x14ac:dyDescent="0.2">
      <c r="A8" s="5"/>
      <c r="B8" s="479" t="s">
        <v>170</v>
      </c>
      <c r="C8" s="480" t="s">
        <v>170</v>
      </c>
      <c r="D8" s="481" t="s">
        <v>170</v>
      </c>
      <c r="E8" s="152"/>
      <c r="F8" s="242"/>
      <c r="G8" s="10">
        <v>3661245</v>
      </c>
    </row>
    <row r="9" spans="1:14" ht="12.75" customHeight="1" x14ac:dyDescent="0.2">
      <c r="A9" s="5"/>
      <c r="B9" s="479" t="s">
        <v>181</v>
      </c>
      <c r="C9" s="480" t="s">
        <v>181</v>
      </c>
      <c r="D9" s="481" t="s">
        <v>181</v>
      </c>
      <c r="E9" s="152"/>
      <c r="F9" s="242"/>
      <c r="G9" s="10">
        <v>3872160</v>
      </c>
      <c r="H9" s="19"/>
    </row>
    <row r="10" spans="1:14" x14ac:dyDescent="0.2">
      <c r="A10" s="5"/>
      <c r="B10" s="491" t="s">
        <v>182</v>
      </c>
      <c r="C10" s="492"/>
      <c r="D10" s="493"/>
      <c r="E10" s="7"/>
      <c r="F10" s="242"/>
      <c r="G10" s="10">
        <v>2332261</v>
      </c>
      <c r="H10" s="19"/>
    </row>
    <row r="11" spans="1:14" x14ac:dyDescent="0.2">
      <c r="A11" s="5"/>
      <c r="B11" s="479" t="s">
        <v>143</v>
      </c>
      <c r="C11" s="480" t="s">
        <v>143</v>
      </c>
      <c r="D11" s="481" t="s">
        <v>143</v>
      </c>
      <c r="E11" s="152"/>
      <c r="F11" s="242"/>
      <c r="G11" s="10">
        <v>1600000</v>
      </c>
      <c r="H11" s="19"/>
    </row>
    <row r="12" spans="1:14" ht="12.75" customHeight="1" x14ac:dyDescent="0.2">
      <c r="A12" s="5"/>
      <c r="B12" s="479" t="s">
        <v>183</v>
      </c>
      <c r="C12" s="480" t="s">
        <v>183</v>
      </c>
      <c r="D12" s="481" t="s">
        <v>183</v>
      </c>
      <c r="E12" s="269"/>
      <c r="F12" s="38"/>
      <c r="G12" s="10">
        <v>3692929</v>
      </c>
      <c r="H12" s="19"/>
    </row>
    <row r="13" spans="1:14" ht="12.75" customHeight="1" x14ac:dyDescent="0.2">
      <c r="A13" s="241" t="s">
        <v>114</v>
      </c>
      <c r="B13" s="494" t="s">
        <v>113</v>
      </c>
      <c r="C13" s="495"/>
      <c r="D13" s="496"/>
      <c r="E13" s="216"/>
      <c r="F13" s="217"/>
      <c r="G13" s="218"/>
    </row>
    <row r="14" spans="1:14" ht="23.25" customHeight="1" x14ac:dyDescent="0.2">
      <c r="A14" s="241" t="s">
        <v>163</v>
      </c>
      <c r="B14" s="494" t="s">
        <v>164</v>
      </c>
      <c r="C14" s="495"/>
      <c r="D14" s="496"/>
      <c r="E14" s="216"/>
      <c r="F14" s="217"/>
      <c r="G14" s="218">
        <v>0</v>
      </c>
    </row>
    <row r="15" spans="1:14" ht="12.75" customHeight="1" x14ac:dyDescent="0.2">
      <c r="A15" s="224" t="s">
        <v>66</v>
      </c>
      <c r="B15" s="494" t="s">
        <v>67</v>
      </c>
      <c r="C15" s="495"/>
      <c r="D15" s="496"/>
      <c r="E15" s="216"/>
      <c r="F15" s="217"/>
      <c r="G15" s="223">
        <v>330000</v>
      </c>
      <c r="H15" t="s">
        <v>160</v>
      </c>
    </row>
    <row r="16" spans="1:14" x14ac:dyDescent="0.2">
      <c r="A16" s="224" t="s">
        <v>5</v>
      </c>
      <c r="B16" s="494" t="s">
        <v>22</v>
      </c>
      <c r="C16" s="495"/>
      <c r="D16" s="496"/>
      <c r="E16" s="216"/>
      <c r="F16" s="217"/>
      <c r="G16" s="223">
        <v>250000</v>
      </c>
      <c r="J16" s="205"/>
      <c r="N16" s="205"/>
    </row>
    <row r="17" spans="1:14" x14ac:dyDescent="0.2">
      <c r="A17" s="222" t="s">
        <v>6</v>
      </c>
      <c r="B17" s="494" t="s">
        <v>23</v>
      </c>
      <c r="C17" s="495"/>
      <c r="D17" s="496"/>
      <c r="E17" s="216"/>
      <c r="F17" s="217"/>
      <c r="G17" s="223">
        <f>SUM(G18)</f>
        <v>0</v>
      </c>
      <c r="N17" s="205"/>
    </row>
    <row r="18" spans="1:14" x14ac:dyDescent="0.2">
      <c r="A18" s="5"/>
      <c r="B18" s="479"/>
      <c r="C18" s="480"/>
      <c r="D18" s="481"/>
      <c r="E18" s="7"/>
      <c r="F18" s="242"/>
      <c r="G18" s="10"/>
      <c r="N18" s="205"/>
    </row>
    <row r="19" spans="1:14" ht="21.75" customHeight="1" x14ac:dyDescent="0.2">
      <c r="A19" s="222" t="s">
        <v>7</v>
      </c>
      <c r="B19" s="494" t="s">
        <v>24</v>
      </c>
      <c r="C19" s="495"/>
      <c r="D19" s="496"/>
      <c r="E19" s="216"/>
      <c r="F19" s="217"/>
      <c r="G19" s="223">
        <f>SUM(G20:G22)</f>
        <v>800000</v>
      </c>
    </row>
    <row r="20" spans="1:14" x14ac:dyDescent="0.2">
      <c r="A20" s="1"/>
      <c r="B20" s="479" t="s">
        <v>139</v>
      </c>
      <c r="C20" s="480"/>
      <c r="D20" s="481"/>
      <c r="E20" s="36">
        <v>60000</v>
      </c>
      <c r="F20" s="38">
        <v>5</v>
      </c>
      <c r="G20" s="8">
        <f>SUM(E20*F20)</f>
        <v>300000</v>
      </c>
    </row>
    <row r="21" spans="1:14" x14ac:dyDescent="0.2">
      <c r="A21" s="1"/>
      <c r="B21" s="479" t="s">
        <v>144</v>
      </c>
      <c r="C21" s="480"/>
      <c r="D21" s="481"/>
      <c r="E21" s="36">
        <v>12000</v>
      </c>
      <c r="F21" s="38">
        <v>5</v>
      </c>
      <c r="G21" s="8">
        <f>SUM(E21*F21)</f>
        <v>60000</v>
      </c>
    </row>
    <row r="22" spans="1:14" x14ac:dyDescent="0.2">
      <c r="A22" s="1"/>
      <c r="B22" s="479" t="s">
        <v>140</v>
      </c>
      <c r="C22" s="480"/>
      <c r="D22" s="481"/>
      <c r="E22" s="36"/>
      <c r="F22" s="38"/>
      <c r="G22" s="8">
        <v>440000</v>
      </c>
    </row>
    <row r="23" spans="1:14" ht="38.25" customHeight="1" x14ac:dyDescent="0.2">
      <c r="A23" s="224" t="s">
        <v>8</v>
      </c>
      <c r="B23" s="513" t="s">
        <v>25</v>
      </c>
      <c r="C23" s="514"/>
      <c r="D23" s="515"/>
      <c r="E23" s="225"/>
      <c r="F23" s="217"/>
      <c r="G23" s="223">
        <f>SUM(G24:G27)</f>
        <v>2590000</v>
      </c>
    </row>
    <row r="24" spans="1:14" x14ac:dyDescent="0.2">
      <c r="A24" s="5"/>
      <c r="B24" s="479" t="s">
        <v>168</v>
      </c>
      <c r="C24" s="480"/>
      <c r="D24" s="481"/>
      <c r="E24" s="152">
        <v>60000</v>
      </c>
      <c r="F24" s="242">
        <v>10</v>
      </c>
      <c r="G24" s="10">
        <f>SUM(E24*F24)</f>
        <v>600000</v>
      </c>
    </row>
    <row r="25" spans="1:14" x14ac:dyDescent="0.2">
      <c r="A25" s="312"/>
      <c r="B25" s="479" t="s">
        <v>171</v>
      </c>
      <c r="C25" s="480"/>
      <c r="D25" s="481"/>
      <c r="E25" s="165">
        <v>200000</v>
      </c>
      <c r="F25" s="242">
        <v>1</v>
      </c>
      <c r="G25" s="10">
        <f>SUM(E25*F25)</f>
        <v>200000</v>
      </c>
    </row>
    <row r="26" spans="1:14" x14ac:dyDescent="0.2">
      <c r="A26" s="1"/>
      <c r="B26" s="479" t="s">
        <v>171</v>
      </c>
      <c r="C26" s="480"/>
      <c r="D26" s="481"/>
      <c r="E26" s="165">
        <v>250000</v>
      </c>
      <c r="F26" s="214">
        <v>7</v>
      </c>
      <c r="G26" s="10">
        <f>SUM(E26*F26)</f>
        <v>1750000</v>
      </c>
    </row>
    <row r="27" spans="1:14" x14ac:dyDescent="0.2">
      <c r="A27" s="397"/>
      <c r="B27" s="398"/>
      <c r="C27" s="399"/>
      <c r="D27" s="400"/>
      <c r="E27" s="42"/>
      <c r="F27" s="401"/>
      <c r="G27" s="171">
        <v>40000</v>
      </c>
    </row>
    <row r="28" spans="1:14" ht="24.75" customHeight="1" thickBot="1" x14ac:dyDescent="0.25">
      <c r="A28" s="234" t="s">
        <v>119</v>
      </c>
      <c r="B28" s="497" t="s">
        <v>120</v>
      </c>
      <c r="C28" s="498"/>
      <c r="D28" s="499"/>
      <c r="E28" s="235"/>
      <c r="F28" s="236"/>
      <c r="G28" s="237">
        <v>0</v>
      </c>
    </row>
    <row r="29" spans="1:14" ht="13.5" thickBot="1" x14ac:dyDescent="0.25">
      <c r="A29" s="478" t="s">
        <v>35</v>
      </c>
      <c r="B29" s="460"/>
      <c r="C29" s="176"/>
      <c r="D29" s="177"/>
      <c r="E29" s="164"/>
      <c r="F29" s="45"/>
      <c r="G29" s="46">
        <f>SUM(G5,G19,G23,G28,G13,G16,G15,G17,G14)</f>
        <v>28420000</v>
      </c>
    </row>
    <row r="30" spans="1:14" x14ac:dyDescent="0.2">
      <c r="A30" s="238" t="s">
        <v>9</v>
      </c>
      <c r="B30" s="508" t="s">
        <v>26</v>
      </c>
      <c r="C30" s="509"/>
      <c r="D30" s="510"/>
      <c r="E30" s="216"/>
      <c r="F30" s="263"/>
      <c r="G30" s="218"/>
    </row>
    <row r="31" spans="1:14" x14ac:dyDescent="0.2">
      <c r="A31" s="238" t="s">
        <v>9</v>
      </c>
      <c r="B31" s="508" t="s">
        <v>26</v>
      </c>
      <c r="C31" s="509"/>
      <c r="D31" s="510"/>
      <c r="E31" s="216">
        <f>SUM((G29-(G6+G7+G8+G9+G12))*F31)</f>
        <v>1080021.28</v>
      </c>
      <c r="F31" s="263">
        <v>0.13</v>
      </c>
      <c r="G31" s="218">
        <v>3430000</v>
      </c>
    </row>
    <row r="32" spans="1:14" x14ac:dyDescent="0.2">
      <c r="A32" s="246" t="s">
        <v>162</v>
      </c>
      <c r="B32" s="494" t="s">
        <v>27</v>
      </c>
      <c r="C32" s="495"/>
      <c r="D32" s="496"/>
      <c r="E32" s="229">
        <f>SUM((G28+G15)*F32)</f>
        <v>49500</v>
      </c>
      <c r="F32" s="263">
        <v>0.15</v>
      </c>
      <c r="G32" s="278">
        <v>75000</v>
      </c>
    </row>
    <row r="33" spans="1:10" x14ac:dyDescent="0.2">
      <c r="A33" s="246" t="s">
        <v>10</v>
      </c>
      <c r="B33" s="502" t="s">
        <v>27</v>
      </c>
      <c r="C33" s="503"/>
      <c r="D33" s="504"/>
      <c r="E33" s="253"/>
      <c r="F33" s="217"/>
      <c r="G33" s="240"/>
    </row>
    <row r="34" spans="1:10" x14ac:dyDescent="0.2">
      <c r="A34" s="456" t="s">
        <v>68</v>
      </c>
      <c r="B34" s="460"/>
      <c r="C34" s="164"/>
      <c r="D34" s="178"/>
      <c r="E34" s="177"/>
      <c r="F34" s="45"/>
      <c r="G34" s="46">
        <f>SUM(G30:G33)</f>
        <v>3505000</v>
      </c>
    </row>
    <row r="35" spans="1:10" x14ac:dyDescent="0.2">
      <c r="A35" s="470" t="s">
        <v>40</v>
      </c>
      <c r="B35" s="471"/>
      <c r="C35" s="147"/>
      <c r="D35" s="147"/>
      <c r="E35" s="147"/>
      <c r="F35" s="39"/>
      <c r="G35" s="23">
        <f>G29+G34</f>
        <v>31925000</v>
      </c>
    </row>
    <row r="36" spans="1:10" x14ac:dyDescent="0.2">
      <c r="A36" s="526" t="s">
        <v>103</v>
      </c>
      <c r="B36" s="527"/>
      <c r="C36" s="527"/>
      <c r="D36" s="527"/>
      <c r="E36" s="527"/>
      <c r="F36" s="527"/>
      <c r="G36" s="528"/>
    </row>
    <row r="37" spans="1:10" x14ac:dyDescent="0.2">
      <c r="A37" s="472" t="s">
        <v>0</v>
      </c>
      <c r="B37" s="473" t="s">
        <v>39</v>
      </c>
      <c r="C37" s="473"/>
      <c r="D37" s="473"/>
      <c r="E37" s="473"/>
      <c r="F37" s="473"/>
      <c r="G37" s="13">
        <v>2023</v>
      </c>
    </row>
    <row r="38" spans="1:10" ht="13.5" thickBot="1" x14ac:dyDescent="0.25">
      <c r="A38" s="468"/>
      <c r="B38" s="458"/>
      <c r="C38" s="458"/>
      <c r="D38" s="458"/>
      <c r="E38" s="458"/>
      <c r="F38" s="458"/>
      <c r="G38" s="14" t="s">
        <v>178</v>
      </c>
    </row>
    <row r="39" spans="1:10" x14ac:dyDescent="0.2">
      <c r="A39" s="222" t="s">
        <v>4</v>
      </c>
      <c r="B39" s="505" t="s">
        <v>21</v>
      </c>
      <c r="C39" s="505"/>
      <c r="D39" s="505"/>
      <c r="E39" s="511"/>
      <c r="F39" s="512"/>
      <c r="G39" s="223">
        <v>27300000</v>
      </c>
      <c r="H39" s="19">
        <f>SUM(G40:G43)</f>
        <v>26897613</v>
      </c>
      <c r="J39" s="19">
        <f>SUM(G39-H39)</f>
        <v>402387</v>
      </c>
    </row>
    <row r="40" spans="1:10" x14ac:dyDescent="0.2">
      <c r="A40" s="1"/>
      <c r="B40" s="479" t="s">
        <v>184</v>
      </c>
      <c r="C40" s="480" t="s">
        <v>184</v>
      </c>
      <c r="D40" s="481" t="s">
        <v>184</v>
      </c>
      <c r="E40" s="7"/>
      <c r="F40" s="47"/>
      <c r="G40" s="8">
        <v>6332608</v>
      </c>
    </row>
    <row r="41" spans="1:10" x14ac:dyDescent="0.2">
      <c r="A41" s="1"/>
      <c r="B41" s="507" t="s">
        <v>185</v>
      </c>
      <c r="C41" s="507" t="s">
        <v>185</v>
      </c>
      <c r="D41" s="507" t="s">
        <v>185</v>
      </c>
      <c r="E41" s="7"/>
      <c r="F41" s="47"/>
      <c r="G41" s="8">
        <v>8038811</v>
      </c>
    </row>
    <row r="42" spans="1:10" x14ac:dyDescent="0.2">
      <c r="A42" s="1"/>
      <c r="B42" s="507" t="s">
        <v>186</v>
      </c>
      <c r="C42" s="507" t="s">
        <v>186</v>
      </c>
      <c r="D42" s="507" t="s">
        <v>186</v>
      </c>
      <c r="E42" s="7"/>
      <c r="F42" s="47"/>
      <c r="G42" s="8">
        <v>6192346</v>
      </c>
    </row>
    <row r="43" spans="1:10" x14ac:dyDescent="0.2">
      <c r="A43" s="1"/>
      <c r="B43" s="507" t="s">
        <v>187</v>
      </c>
      <c r="C43" s="507" t="s">
        <v>187</v>
      </c>
      <c r="D43" s="507" t="s">
        <v>187</v>
      </c>
      <c r="E43" s="7"/>
      <c r="F43" s="47"/>
      <c r="G43" s="8">
        <v>6333848</v>
      </c>
      <c r="H43" s="19"/>
    </row>
    <row r="44" spans="1:10" x14ac:dyDescent="0.2">
      <c r="A44" s="224" t="s">
        <v>112</v>
      </c>
      <c r="B44" s="505" t="s">
        <v>113</v>
      </c>
      <c r="C44" s="505"/>
      <c r="D44" s="505"/>
      <c r="E44" s="511"/>
      <c r="F44" s="512"/>
      <c r="G44" s="223"/>
    </row>
    <row r="45" spans="1:10" x14ac:dyDescent="0.2">
      <c r="A45" s="224" t="s">
        <v>105</v>
      </c>
      <c r="B45" s="505" t="s">
        <v>104</v>
      </c>
      <c r="C45" s="505"/>
      <c r="D45" s="505"/>
      <c r="E45" s="511"/>
      <c r="F45" s="512"/>
      <c r="G45" s="223"/>
    </row>
    <row r="46" spans="1:10" x14ac:dyDescent="0.2">
      <c r="A46" s="224" t="s">
        <v>66</v>
      </c>
      <c r="B46" s="505" t="s">
        <v>67</v>
      </c>
      <c r="C46" s="505"/>
      <c r="D46" s="505"/>
      <c r="E46" s="511"/>
      <c r="F46" s="512"/>
      <c r="G46" s="223">
        <v>495000</v>
      </c>
      <c r="H46" t="s">
        <v>160</v>
      </c>
    </row>
    <row r="47" spans="1:10" x14ac:dyDescent="0.2">
      <c r="A47" s="224" t="s">
        <v>5</v>
      </c>
      <c r="B47" s="505" t="s">
        <v>22</v>
      </c>
      <c r="C47" s="505"/>
      <c r="D47" s="505"/>
      <c r="E47" s="511"/>
      <c r="F47" s="512"/>
      <c r="G47" s="223"/>
    </row>
    <row r="48" spans="1:10" x14ac:dyDescent="0.2">
      <c r="A48" s="222" t="s">
        <v>6</v>
      </c>
      <c r="B48" s="505" t="s">
        <v>23</v>
      </c>
      <c r="C48" s="505"/>
      <c r="D48" s="505"/>
      <c r="E48" s="511"/>
      <c r="F48" s="512"/>
      <c r="G48" s="223">
        <f>SUM(G49)</f>
        <v>0</v>
      </c>
    </row>
    <row r="49" spans="1:7" x14ac:dyDescent="0.2">
      <c r="A49" s="1"/>
      <c r="B49" s="479"/>
      <c r="C49" s="480"/>
      <c r="D49" s="481"/>
      <c r="E49" s="7"/>
      <c r="F49" s="47"/>
      <c r="G49" s="8"/>
    </row>
    <row r="50" spans="1:7" ht="25.5" customHeight="1" x14ac:dyDescent="0.2">
      <c r="A50" s="222" t="s">
        <v>7</v>
      </c>
      <c r="B50" s="505" t="s">
        <v>24</v>
      </c>
      <c r="C50" s="505"/>
      <c r="D50" s="505"/>
      <c r="E50" s="511"/>
      <c r="F50" s="512"/>
      <c r="G50" s="223">
        <f>SUM(G51:G53)</f>
        <v>1400000</v>
      </c>
    </row>
    <row r="51" spans="1:7" x14ac:dyDescent="0.2">
      <c r="A51" s="1"/>
      <c r="B51" s="479" t="s">
        <v>139</v>
      </c>
      <c r="C51" s="480"/>
      <c r="D51" s="481"/>
      <c r="E51" s="7">
        <v>60000</v>
      </c>
      <c r="F51" s="47">
        <v>4</v>
      </c>
      <c r="G51" s="8">
        <f>SUM(E51*F51)</f>
        <v>240000</v>
      </c>
    </row>
    <row r="52" spans="1:7" x14ac:dyDescent="0.2">
      <c r="A52" s="1"/>
      <c r="B52" s="479" t="s">
        <v>144</v>
      </c>
      <c r="C52" s="480"/>
      <c r="D52" s="481"/>
      <c r="E52" s="7">
        <v>12000</v>
      </c>
      <c r="F52" s="47">
        <v>4</v>
      </c>
      <c r="G52" s="8">
        <f>SUM(E52*F52)</f>
        <v>48000</v>
      </c>
    </row>
    <row r="53" spans="1:7" x14ac:dyDescent="0.2">
      <c r="A53" s="1"/>
      <c r="B53" s="479" t="s">
        <v>140</v>
      </c>
      <c r="C53" s="480"/>
      <c r="D53" s="481"/>
      <c r="E53" s="7"/>
      <c r="F53" s="47"/>
      <c r="G53" s="8">
        <v>1112000</v>
      </c>
    </row>
    <row r="54" spans="1:7" ht="34.5" customHeight="1" x14ac:dyDescent="0.2">
      <c r="A54" s="224" t="s">
        <v>8</v>
      </c>
      <c r="B54" s="530" t="s">
        <v>25</v>
      </c>
      <c r="C54" s="530"/>
      <c r="D54" s="530"/>
      <c r="E54" s="511"/>
      <c r="F54" s="512"/>
      <c r="G54" s="223">
        <f>SUM(G55)</f>
        <v>0</v>
      </c>
    </row>
    <row r="55" spans="1:7" x14ac:dyDescent="0.2">
      <c r="A55" s="37"/>
      <c r="B55" s="506"/>
      <c r="C55" s="506"/>
      <c r="D55" s="506"/>
      <c r="E55" s="7"/>
      <c r="F55" s="47"/>
      <c r="G55" s="8"/>
    </row>
    <row r="56" spans="1:7" ht="24" customHeight="1" thickBot="1" x14ac:dyDescent="0.25">
      <c r="A56" s="231" t="s">
        <v>119</v>
      </c>
      <c r="B56" s="529" t="s">
        <v>120</v>
      </c>
      <c r="C56" s="529"/>
      <c r="D56" s="529"/>
      <c r="E56" s="524"/>
      <c r="F56" s="525"/>
      <c r="G56" s="233"/>
    </row>
    <row r="57" spans="1:7" ht="13.5" thickBot="1" x14ac:dyDescent="0.25">
      <c r="A57" s="500" t="s">
        <v>35</v>
      </c>
      <c r="B57" s="501"/>
      <c r="C57" s="226"/>
      <c r="D57" s="226"/>
      <c r="E57" s="226"/>
      <c r="F57" s="227"/>
      <c r="G57" s="228">
        <f>SUM(G39,G44,G45,G46,G47,G48,G50,G54,G56)</f>
        <v>29195000</v>
      </c>
    </row>
    <row r="58" spans="1:7" x14ac:dyDescent="0.2">
      <c r="A58" s="241" t="s">
        <v>9</v>
      </c>
      <c r="B58" s="494" t="s">
        <v>26</v>
      </c>
      <c r="C58" s="495"/>
      <c r="D58" s="496"/>
      <c r="E58" s="264"/>
      <c r="F58" s="265"/>
      <c r="G58" s="218"/>
    </row>
    <row r="59" spans="1:7" x14ac:dyDescent="0.2">
      <c r="A59" s="241" t="s">
        <v>9</v>
      </c>
      <c r="B59" s="494" t="s">
        <v>26</v>
      </c>
      <c r="C59" s="495"/>
      <c r="D59" s="496"/>
      <c r="E59" s="244">
        <f>SUM(G57*F59)</f>
        <v>3795350</v>
      </c>
      <c r="F59" s="282">
        <v>0.13</v>
      </c>
      <c r="G59" s="218">
        <v>3950000</v>
      </c>
    </row>
    <row r="60" spans="1:7" x14ac:dyDescent="0.2">
      <c r="A60" s="239" t="s">
        <v>10</v>
      </c>
      <c r="B60" s="494" t="s">
        <v>27</v>
      </c>
      <c r="C60" s="495"/>
      <c r="D60" s="496"/>
      <c r="E60" s="280">
        <f>SUM(G46*F60)</f>
        <v>74250</v>
      </c>
      <c r="F60" s="281">
        <v>0.15</v>
      </c>
      <c r="G60" s="218">
        <v>75000</v>
      </c>
    </row>
    <row r="61" spans="1:7" ht="13.5" thickBot="1" x14ac:dyDescent="0.25">
      <c r="A61" s="239" t="s">
        <v>10</v>
      </c>
      <c r="B61" s="502" t="s">
        <v>27</v>
      </c>
      <c r="C61" s="503"/>
      <c r="D61" s="504"/>
      <c r="E61" s="524"/>
      <c r="F61" s="525"/>
      <c r="G61" s="240"/>
    </row>
    <row r="62" spans="1:7" ht="13.5" thickBot="1" x14ac:dyDescent="0.25">
      <c r="A62" s="456" t="s">
        <v>68</v>
      </c>
      <c r="B62" s="460"/>
      <c r="C62" s="44"/>
      <c r="D62" s="44"/>
      <c r="E62" s="44"/>
      <c r="F62" s="148"/>
      <c r="G62" s="149">
        <f>SUM(G58:G61)</f>
        <v>4025000</v>
      </c>
    </row>
    <row r="63" spans="1:7" ht="13.5" thickBot="1" x14ac:dyDescent="0.25">
      <c r="A63" s="470" t="s">
        <v>40</v>
      </c>
      <c r="B63" s="471"/>
      <c r="C63" s="147"/>
      <c r="D63" s="147"/>
      <c r="E63" s="23"/>
      <c r="F63" s="39"/>
      <c r="G63" s="23">
        <f>G57+G62</f>
        <v>33220000</v>
      </c>
    </row>
    <row r="64" spans="1:7" x14ac:dyDescent="0.2">
      <c r="A64" s="465" t="s">
        <v>106</v>
      </c>
      <c r="B64" s="466"/>
      <c r="C64" s="466"/>
      <c r="D64" s="466"/>
      <c r="E64" s="466"/>
      <c r="F64" s="466"/>
      <c r="G64" s="467"/>
    </row>
    <row r="65" spans="1:10" x14ac:dyDescent="0.2">
      <c r="A65" s="468" t="s">
        <v>0</v>
      </c>
      <c r="B65" s="458" t="s">
        <v>39</v>
      </c>
      <c r="C65" s="485"/>
      <c r="D65" s="486"/>
      <c r="E65" s="486"/>
      <c r="F65" s="487"/>
      <c r="G65" s="13">
        <v>2023</v>
      </c>
    </row>
    <row r="66" spans="1:10" ht="13.5" thickBot="1" x14ac:dyDescent="0.25">
      <c r="A66" s="469"/>
      <c r="B66" s="459"/>
      <c r="C66" s="488"/>
      <c r="D66" s="489"/>
      <c r="E66" s="489"/>
      <c r="F66" s="490"/>
      <c r="G66" s="14" t="s">
        <v>178</v>
      </c>
    </row>
    <row r="67" spans="1:10" ht="13.5" thickBot="1" x14ac:dyDescent="0.25">
      <c r="A67" s="234" t="s">
        <v>119</v>
      </c>
      <c r="B67" s="497" t="s">
        <v>120</v>
      </c>
      <c r="C67" s="498"/>
      <c r="D67" s="499"/>
      <c r="E67" s="235"/>
      <c r="F67" s="236"/>
      <c r="G67" s="237">
        <v>170000</v>
      </c>
    </row>
    <row r="68" spans="1:10" ht="13.5" thickBot="1" x14ac:dyDescent="0.25">
      <c r="A68" s="500" t="s">
        <v>35</v>
      </c>
      <c r="B68" s="501"/>
      <c r="C68" s="226"/>
      <c r="D68" s="226"/>
      <c r="E68" s="226"/>
      <c r="F68" s="227"/>
      <c r="G68" s="228">
        <f>SUM(G67)</f>
        <v>170000</v>
      </c>
    </row>
    <row r="69" spans="1:10" ht="13.5" thickBot="1" x14ac:dyDescent="0.25">
      <c r="A69" s="252" t="s">
        <v>9</v>
      </c>
      <c r="B69" s="531" t="s">
        <v>26</v>
      </c>
      <c r="C69" s="532"/>
      <c r="D69" s="533"/>
      <c r="E69" s="260"/>
      <c r="F69" s="261"/>
      <c r="G69" s="223">
        <v>100000</v>
      </c>
    </row>
    <row r="70" spans="1:10" x14ac:dyDescent="0.2">
      <c r="A70" s="456" t="s">
        <v>68</v>
      </c>
      <c r="B70" s="460"/>
      <c r="C70" s="44">
        <f>SUM(C69)</f>
        <v>0</v>
      </c>
      <c r="D70" s="44">
        <f t="shared" ref="D70:E70" si="0">SUM(D69)</f>
        <v>0</v>
      </c>
      <c r="E70" s="44">
        <f t="shared" si="0"/>
        <v>0</v>
      </c>
      <c r="F70" s="148">
        <v>0</v>
      </c>
      <c r="G70" s="149">
        <f>SUM(G69)</f>
        <v>100000</v>
      </c>
    </row>
    <row r="71" spans="1:10" x14ac:dyDescent="0.2">
      <c r="A71" s="215" t="s">
        <v>11</v>
      </c>
      <c r="B71" s="482" t="s">
        <v>28</v>
      </c>
      <c r="C71" s="483"/>
      <c r="D71" s="484"/>
      <c r="E71" s="534"/>
      <c r="F71" s="535"/>
      <c r="G71" s="223">
        <f>SUM(G72:G73)</f>
        <v>70000</v>
      </c>
    </row>
    <row r="72" spans="1:10" x14ac:dyDescent="0.2">
      <c r="A72" s="5"/>
      <c r="B72" s="479" t="s">
        <v>150</v>
      </c>
      <c r="C72" s="480"/>
      <c r="D72" s="481"/>
      <c r="E72" s="7">
        <v>2000</v>
      </c>
      <c r="F72" s="47">
        <v>4</v>
      </c>
      <c r="G72" s="8">
        <f>SUM(E72*F72)</f>
        <v>8000</v>
      </c>
      <c r="I72" s="262">
        <v>0.05</v>
      </c>
      <c r="J72" s="19">
        <f>SUM(G72*I72)</f>
        <v>400</v>
      </c>
    </row>
    <row r="73" spans="1:10" x14ac:dyDescent="0.2">
      <c r="A73" s="5"/>
      <c r="B73" s="479" t="s">
        <v>152</v>
      </c>
      <c r="C73" s="480"/>
      <c r="D73" s="481"/>
      <c r="E73" s="516">
        <v>102000</v>
      </c>
      <c r="F73" s="517"/>
      <c r="G73" s="8">
        <v>62000</v>
      </c>
      <c r="I73" s="262">
        <v>0.05</v>
      </c>
      <c r="J73" s="19">
        <f t="shared" ref="J73:J99" si="1">SUM(G73*I73)</f>
        <v>3100</v>
      </c>
    </row>
    <row r="74" spans="1:10" x14ac:dyDescent="0.2">
      <c r="A74" s="222" t="s">
        <v>12</v>
      </c>
      <c r="B74" s="494" t="s">
        <v>29</v>
      </c>
      <c r="C74" s="495"/>
      <c r="D74" s="496"/>
      <c r="E74" s="511"/>
      <c r="F74" s="512"/>
      <c r="G74" s="223">
        <f>SUM(G75:G80)</f>
        <v>1700000</v>
      </c>
      <c r="J74" s="19"/>
    </row>
    <row r="75" spans="1:10" x14ac:dyDescent="0.2">
      <c r="A75" s="1"/>
      <c r="B75" s="479" t="s">
        <v>146</v>
      </c>
      <c r="C75" s="480"/>
      <c r="D75" s="481"/>
      <c r="E75" s="7">
        <v>30000</v>
      </c>
      <c r="F75" s="47">
        <v>14</v>
      </c>
      <c r="G75" s="8">
        <f>SUM(E75*F75)</f>
        <v>420000</v>
      </c>
      <c r="I75" s="262">
        <v>0.27</v>
      </c>
      <c r="J75" s="19">
        <f t="shared" si="1"/>
        <v>113400.00000000001</v>
      </c>
    </row>
    <row r="76" spans="1:10" x14ac:dyDescent="0.2">
      <c r="A76" s="1"/>
      <c r="B76" s="479" t="s">
        <v>147</v>
      </c>
      <c r="C76" s="480"/>
      <c r="D76" s="481"/>
      <c r="E76" s="516">
        <v>200000</v>
      </c>
      <c r="F76" s="517"/>
      <c r="G76" s="8">
        <v>200000</v>
      </c>
      <c r="I76" s="262">
        <v>0.27</v>
      </c>
      <c r="J76" s="19">
        <f t="shared" si="1"/>
        <v>54000</v>
      </c>
    </row>
    <row r="77" spans="1:10" x14ac:dyDescent="0.2">
      <c r="A77" s="1"/>
      <c r="B77" s="479" t="s">
        <v>148</v>
      </c>
      <c r="C77" s="480"/>
      <c r="D77" s="481"/>
      <c r="E77" s="516">
        <v>100000</v>
      </c>
      <c r="F77" s="517"/>
      <c r="G77" s="8">
        <v>100000</v>
      </c>
      <c r="I77" s="262">
        <v>0.27</v>
      </c>
      <c r="J77" s="19">
        <f t="shared" si="1"/>
        <v>27000</v>
      </c>
    </row>
    <row r="78" spans="1:10" x14ac:dyDescent="0.2">
      <c r="A78" s="1"/>
      <c r="B78" s="266"/>
      <c r="C78" s="267"/>
      <c r="D78" s="268"/>
      <c r="E78" s="516"/>
      <c r="F78" s="517"/>
      <c r="G78" s="8"/>
      <c r="I78" s="262">
        <v>0.27</v>
      </c>
      <c r="J78" s="19">
        <f t="shared" si="1"/>
        <v>0</v>
      </c>
    </row>
    <row r="79" spans="1:10" x14ac:dyDescent="0.2">
      <c r="A79" s="1"/>
      <c r="B79" s="479" t="s">
        <v>165</v>
      </c>
      <c r="C79" s="480"/>
      <c r="D79" s="481"/>
      <c r="E79" s="516">
        <v>120000</v>
      </c>
      <c r="F79" s="517"/>
      <c r="G79" s="8">
        <v>120000</v>
      </c>
      <c r="I79" s="262">
        <v>0.27</v>
      </c>
      <c r="J79" s="19">
        <f t="shared" si="1"/>
        <v>32400.000000000004</v>
      </c>
    </row>
    <row r="80" spans="1:10" x14ac:dyDescent="0.2">
      <c r="A80" s="1"/>
      <c r="B80" s="479" t="s">
        <v>151</v>
      </c>
      <c r="C80" s="480"/>
      <c r="D80" s="481"/>
      <c r="E80" s="516">
        <v>410000</v>
      </c>
      <c r="F80" s="517"/>
      <c r="G80" s="8">
        <v>860000</v>
      </c>
      <c r="I80" s="262">
        <v>0.27</v>
      </c>
      <c r="J80" s="19">
        <f t="shared" si="1"/>
        <v>232200.00000000003</v>
      </c>
    </row>
    <row r="81" spans="1:10" x14ac:dyDescent="0.2">
      <c r="A81" s="224" t="s">
        <v>69</v>
      </c>
      <c r="B81" s="494" t="s">
        <v>70</v>
      </c>
      <c r="C81" s="495"/>
      <c r="D81" s="496"/>
      <c r="E81" s="511"/>
      <c r="F81" s="512"/>
      <c r="G81" s="223">
        <f>SUM(G82)</f>
        <v>115200</v>
      </c>
      <c r="J81" s="19"/>
    </row>
    <row r="82" spans="1:10" x14ac:dyDescent="0.2">
      <c r="A82" s="1"/>
      <c r="B82" s="479" t="s">
        <v>153</v>
      </c>
      <c r="C82" s="480"/>
      <c r="D82" s="481"/>
      <c r="E82" s="181">
        <v>9600</v>
      </c>
      <c r="F82" s="7">
        <v>12</v>
      </c>
      <c r="G82" s="8">
        <f>SUM(E82*F82)</f>
        <v>115200</v>
      </c>
      <c r="I82" s="262">
        <v>0.05</v>
      </c>
      <c r="J82" s="19">
        <f t="shared" si="1"/>
        <v>5760</v>
      </c>
    </row>
    <row r="83" spans="1:10" x14ac:dyDescent="0.2">
      <c r="A83" s="245" t="s">
        <v>13</v>
      </c>
      <c r="B83" s="494" t="s">
        <v>71</v>
      </c>
      <c r="C83" s="495"/>
      <c r="D83" s="496"/>
      <c r="E83" s="511"/>
      <c r="F83" s="512"/>
      <c r="G83" s="223">
        <f>SUM(G84)</f>
        <v>72000</v>
      </c>
      <c r="J83" s="19"/>
    </row>
    <row r="84" spans="1:10" x14ac:dyDescent="0.2">
      <c r="A84" s="1"/>
      <c r="B84" s="479" t="s">
        <v>154</v>
      </c>
      <c r="C84" s="480"/>
      <c r="D84" s="481"/>
      <c r="E84" s="181">
        <v>6000</v>
      </c>
      <c r="F84" s="7">
        <v>12</v>
      </c>
      <c r="G84" s="8">
        <f>SUM(E84*F84)</f>
        <v>72000</v>
      </c>
      <c r="I84" s="262">
        <v>0.27</v>
      </c>
      <c r="J84" s="19">
        <f t="shared" si="1"/>
        <v>19440</v>
      </c>
    </row>
    <row r="85" spans="1:10" x14ac:dyDescent="0.2">
      <c r="A85" s="224" t="s">
        <v>77</v>
      </c>
      <c r="B85" s="494" t="s">
        <v>121</v>
      </c>
      <c r="C85" s="495"/>
      <c r="D85" s="496"/>
      <c r="E85" s="511"/>
      <c r="F85" s="512"/>
      <c r="G85" s="223">
        <f>SUM(G86:G88)</f>
        <v>3338900</v>
      </c>
      <c r="J85" s="19"/>
    </row>
    <row r="86" spans="1:10" x14ac:dyDescent="0.2">
      <c r="A86" s="1" t="s">
        <v>81</v>
      </c>
      <c r="B86" s="479" t="s">
        <v>78</v>
      </c>
      <c r="C86" s="480"/>
      <c r="D86" s="481"/>
      <c r="E86" s="516">
        <v>400000</v>
      </c>
      <c r="F86" s="517"/>
      <c r="G86" s="8">
        <v>600000</v>
      </c>
      <c r="I86" s="262">
        <v>0.27</v>
      </c>
      <c r="J86" s="19">
        <f t="shared" si="1"/>
        <v>162000</v>
      </c>
    </row>
    <row r="87" spans="1:10" x14ac:dyDescent="0.2">
      <c r="A87" s="1" t="s">
        <v>80</v>
      </c>
      <c r="B87" s="479" t="s">
        <v>79</v>
      </c>
      <c r="C87" s="480"/>
      <c r="D87" s="481"/>
      <c r="E87" s="516">
        <v>1600000</v>
      </c>
      <c r="F87" s="517"/>
      <c r="G87" s="8">
        <v>2138900</v>
      </c>
      <c r="I87" s="262">
        <v>0.27</v>
      </c>
      <c r="J87" s="19">
        <f t="shared" si="1"/>
        <v>577503</v>
      </c>
    </row>
    <row r="88" spans="1:10" x14ac:dyDescent="0.2">
      <c r="A88" s="1" t="s">
        <v>82</v>
      </c>
      <c r="B88" s="479" t="s">
        <v>83</v>
      </c>
      <c r="C88" s="480"/>
      <c r="D88" s="481"/>
      <c r="E88" s="181">
        <v>50000</v>
      </c>
      <c r="F88" s="165">
        <v>12</v>
      </c>
      <c r="G88" s="8">
        <f>SUM(E88*F88)</f>
        <v>600000</v>
      </c>
      <c r="I88" s="262">
        <v>0.27</v>
      </c>
      <c r="J88" s="19">
        <f t="shared" si="1"/>
        <v>162000</v>
      </c>
    </row>
    <row r="89" spans="1:10" x14ac:dyDescent="0.2">
      <c r="A89" s="224" t="s">
        <v>75</v>
      </c>
      <c r="B89" s="494" t="s">
        <v>76</v>
      </c>
      <c r="C89" s="495"/>
      <c r="D89" s="496"/>
      <c r="E89" s="511"/>
      <c r="F89" s="512"/>
      <c r="G89" s="223">
        <f>SUM(G90:G90)</f>
        <v>9800000</v>
      </c>
      <c r="J89" s="19"/>
    </row>
    <row r="90" spans="1:10" x14ac:dyDescent="0.2">
      <c r="A90" s="1"/>
      <c r="B90" s="479" t="s">
        <v>166</v>
      </c>
      <c r="C90" s="480"/>
      <c r="D90" s="481"/>
      <c r="E90" s="516">
        <v>6800000</v>
      </c>
      <c r="F90" s="517"/>
      <c r="G90" s="8">
        <v>9800000</v>
      </c>
      <c r="I90" s="262">
        <v>0.27</v>
      </c>
      <c r="J90" s="19">
        <f t="shared" si="1"/>
        <v>2646000</v>
      </c>
    </row>
    <row r="91" spans="1:10" ht="12.75" customHeight="1" x14ac:dyDescent="0.2">
      <c r="A91" s="224" t="s">
        <v>107</v>
      </c>
      <c r="B91" s="494" t="s">
        <v>108</v>
      </c>
      <c r="C91" s="495"/>
      <c r="D91" s="496"/>
      <c r="E91" s="511"/>
      <c r="F91" s="512"/>
      <c r="G91" s="223">
        <f>SUM(G92:G95)</f>
        <v>930000</v>
      </c>
      <c r="J91" s="19"/>
    </row>
    <row r="92" spans="1:10" x14ac:dyDescent="0.2">
      <c r="A92" s="1"/>
      <c r="B92" s="479" t="s">
        <v>155</v>
      </c>
      <c r="C92" s="480"/>
      <c r="D92" s="481"/>
      <c r="E92" s="181">
        <v>2000</v>
      </c>
      <c r="F92" s="7">
        <v>14</v>
      </c>
      <c r="G92" s="8">
        <v>30000</v>
      </c>
      <c r="J92" s="19">
        <f t="shared" si="1"/>
        <v>0</v>
      </c>
    </row>
    <row r="93" spans="1:10" x14ac:dyDescent="0.2">
      <c r="A93" s="1"/>
      <c r="B93" s="479" t="s">
        <v>156</v>
      </c>
      <c r="C93" s="480"/>
      <c r="D93" s="481"/>
      <c r="E93" s="516">
        <v>100000</v>
      </c>
      <c r="F93" s="517"/>
      <c r="G93" s="8">
        <v>100000</v>
      </c>
      <c r="J93" s="19">
        <f t="shared" si="1"/>
        <v>0</v>
      </c>
    </row>
    <row r="94" spans="1:10" x14ac:dyDescent="0.2">
      <c r="A94" s="1"/>
      <c r="B94" s="479" t="s">
        <v>167</v>
      </c>
      <c r="C94" s="480"/>
      <c r="D94" s="481"/>
      <c r="E94" s="277">
        <v>100000</v>
      </c>
      <c r="F94" s="214">
        <v>6</v>
      </c>
      <c r="G94" s="8">
        <v>500000</v>
      </c>
      <c r="J94" s="19"/>
    </row>
    <row r="95" spans="1:10" x14ac:dyDescent="0.2">
      <c r="A95" s="1"/>
      <c r="B95" s="479" t="s">
        <v>169</v>
      </c>
      <c r="C95" s="480"/>
      <c r="D95" s="481"/>
      <c r="E95" s="516">
        <v>300000</v>
      </c>
      <c r="F95" s="517"/>
      <c r="G95" s="8">
        <v>300000</v>
      </c>
      <c r="I95" s="262">
        <v>0.27</v>
      </c>
      <c r="J95" s="19">
        <f t="shared" si="1"/>
        <v>81000</v>
      </c>
    </row>
    <row r="96" spans="1:10" x14ac:dyDescent="0.2">
      <c r="A96" s="222" t="s">
        <v>14</v>
      </c>
      <c r="B96" s="494" t="s">
        <v>30</v>
      </c>
      <c r="C96" s="495"/>
      <c r="D96" s="496"/>
      <c r="E96" s="229"/>
      <c r="F96" s="230"/>
      <c r="G96" s="223">
        <f>SUM(G97:G99)</f>
        <v>1160000</v>
      </c>
      <c r="J96" s="19"/>
    </row>
    <row r="97" spans="1:14" x14ac:dyDescent="0.2">
      <c r="A97" s="1"/>
      <c r="B97" s="479" t="s">
        <v>157</v>
      </c>
      <c r="C97" s="480"/>
      <c r="D97" s="481"/>
      <c r="E97" s="181">
        <v>15000</v>
      </c>
      <c r="F97" s="7">
        <v>4</v>
      </c>
      <c r="G97" s="8">
        <f>SUM(E97*F97)</f>
        <v>60000</v>
      </c>
      <c r="I97" s="262">
        <v>0.27</v>
      </c>
      <c r="J97" s="19">
        <f t="shared" si="1"/>
        <v>16200.000000000002</v>
      </c>
    </row>
    <row r="98" spans="1:14" x14ac:dyDescent="0.2">
      <c r="A98" s="1"/>
      <c r="B98" s="479" t="s">
        <v>158</v>
      </c>
      <c r="C98" s="480"/>
      <c r="D98" s="481"/>
      <c r="E98" s="516">
        <v>500000</v>
      </c>
      <c r="F98" s="517"/>
      <c r="G98" s="8">
        <v>500000</v>
      </c>
      <c r="I98" s="205" t="s">
        <v>159</v>
      </c>
      <c r="J98" s="19"/>
    </row>
    <row r="99" spans="1:14" x14ac:dyDescent="0.2">
      <c r="A99" s="1"/>
      <c r="B99" s="479" t="s">
        <v>30</v>
      </c>
      <c r="C99" s="480"/>
      <c r="D99" s="481"/>
      <c r="E99" s="516">
        <v>600000</v>
      </c>
      <c r="F99" s="517"/>
      <c r="G99" s="8">
        <f>SUM(E99)</f>
        <v>600000</v>
      </c>
      <c r="I99" s="262">
        <v>0.27</v>
      </c>
      <c r="J99" s="19">
        <f t="shared" si="1"/>
        <v>162000</v>
      </c>
    </row>
    <row r="100" spans="1:14" x14ac:dyDescent="0.2">
      <c r="A100" s="238" t="s">
        <v>15</v>
      </c>
      <c r="B100" s="494" t="s">
        <v>31</v>
      </c>
      <c r="C100" s="495"/>
      <c r="D100" s="496"/>
      <c r="E100" s="229"/>
      <c r="F100" s="230"/>
      <c r="G100" s="223">
        <f>SUM(G101)</f>
        <v>100000</v>
      </c>
    </row>
    <row r="101" spans="1:14" x14ac:dyDescent="0.2">
      <c r="A101" s="1"/>
      <c r="B101" s="479" t="s">
        <v>31</v>
      </c>
      <c r="C101" s="480"/>
      <c r="D101" s="481"/>
      <c r="E101" s="516">
        <v>100000</v>
      </c>
      <c r="F101" s="517"/>
      <c r="G101" s="8">
        <v>100000</v>
      </c>
    </row>
    <row r="102" spans="1:14" ht="21" customHeight="1" x14ac:dyDescent="0.2">
      <c r="A102" s="222" t="s">
        <v>16</v>
      </c>
      <c r="B102" s="494" t="s">
        <v>32</v>
      </c>
      <c r="C102" s="495"/>
      <c r="D102" s="496"/>
      <c r="E102" s="229"/>
      <c r="F102" s="230"/>
      <c r="G102" s="223">
        <v>4413175</v>
      </c>
      <c r="J102" s="19">
        <f>SUM(J72:J100)</f>
        <v>4294403</v>
      </c>
    </row>
    <row r="103" spans="1:14" ht="22.5" customHeight="1" thickBot="1" x14ac:dyDescent="0.25">
      <c r="A103" s="246" t="s">
        <v>17</v>
      </c>
      <c r="B103" s="518" t="s">
        <v>60</v>
      </c>
      <c r="C103" s="519"/>
      <c r="D103" s="520"/>
      <c r="E103" s="229"/>
      <c r="F103" s="230"/>
      <c r="G103" s="240">
        <v>10000</v>
      </c>
      <c r="N103" s="19"/>
    </row>
    <row r="104" spans="1:14" ht="13.5" thickBot="1" x14ac:dyDescent="0.25">
      <c r="A104" s="456" t="s">
        <v>37</v>
      </c>
      <c r="B104" s="457"/>
      <c r="C104" s="51"/>
      <c r="D104" s="51"/>
      <c r="E104" s="51"/>
      <c r="F104" s="45"/>
      <c r="G104" s="46">
        <f>SUM(G71,G74,G81,G83,G85,G89,G91,G96,G100,G102,G103)</f>
        <v>21709275</v>
      </c>
    </row>
    <row r="105" spans="1:14" x14ac:dyDescent="0.2">
      <c r="A105" s="247" t="s">
        <v>135</v>
      </c>
      <c r="B105" s="248" t="s">
        <v>136</v>
      </c>
      <c r="C105" s="249"/>
      <c r="D105" s="249"/>
      <c r="E105" s="249"/>
      <c r="F105" s="250"/>
      <c r="G105" s="251">
        <v>0</v>
      </c>
    </row>
    <row r="106" spans="1:14" ht="13.5" thickBot="1" x14ac:dyDescent="0.25">
      <c r="A106" s="456" t="s">
        <v>134</v>
      </c>
      <c r="B106" s="457"/>
      <c r="C106" s="51"/>
      <c r="D106" s="51"/>
      <c r="E106" s="51"/>
      <c r="F106" s="45"/>
      <c r="G106" s="46">
        <f>SUM(G105)</f>
        <v>0</v>
      </c>
    </row>
    <row r="107" spans="1:14" x14ac:dyDescent="0.2">
      <c r="A107" s="252" t="s">
        <v>84</v>
      </c>
      <c r="B107" s="482" t="s">
        <v>85</v>
      </c>
      <c r="C107" s="483"/>
      <c r="D107" s="484"/>
      <c r="E107" s="219"/>
      <c r="F107" s="220"/>
      <c r="G107" s="221">
        <f>SUM(G108:G108)</f>
        <v>2913465</v>
      </c>
    </row>
    <row r="108" spans="1:14" x14ac:dyDescent="0.2">
      <c r="A108" s="1"/>
      <c r="B108" s="479"/>
      <c r="C108" s="480"/>
      <c r="D108" s="481"/>
      <c r="E108" s="516"/>
      <c r="F108" s="517"/>
      <c r="G108" s="8">
        <v>2913465</v>
      </c>
      <c r="I108" s="262">
        <v>0.27</v>
      </c>
      <c r="J108">
        <f>SUM(G108*I108)</f>
        <v>786635.55</v>
      </c>
      <c r="N108">
        <v>300000</v>
      </c>
    </row>
    <row r="109" spans="1:14" ht="21.75" customHeight="1" thickBot="1" x14ac:dyDescent="0.25">
      <c r="A109" s="224" t="s">
        <v>86</v>
      </c>
      <c r="B109" s="518" t="s">
        <v>88</v>
      </c>
      <c r="C109" s="519"/>
      <c r="D109" s="520"/>
      <c r="E109" s="244"/>
      <c r="F109" s="217"/>
      <c r="G109" s="223">
        <v>785635</v>
      </c>
      <c r="N109">
        <v>80000</v>
      </c>
    </row>
    <row r="110" spans="1:14" ht="13.5" thickBot="1" x14ac:dyDescent="0.25">
      <c r="A110" s="456" t="s">
        <v>87</v>
      </c>
      <c r="B110" s="457"/>
      <c r="C110" s="51"/>
      <c r="D110" s="51"/>
      <c r="E110" s="51"/>
      <c r="F110" s="148"/>
      <c r="G110" s="149">
        <f>G107+G109</f>
        <v>3699100</v>
      </c>
    </row>
    <row r="111" spans="1:14" ht="13.5" thickBot="1" x14ac:dyDescent="0.25">
      <c r="A111" s="454" t="s">
        <v>40</v>
      </c>
      <c r="B111" s="455"/>
      <c r="C111" s="53"/>
      <c r="D111" s="53"/>
      <c r="E111" s="53"/>
      <c r="F111" s="56"/>
      <c r="G111" s="53">
        <f>SUM(G70,G104,G106,G110+G68)</f>
        <v>25678375</v>
      </c>
    </row>
    <row r="112" spans="1:14" x14ac:dyDescent="0.2">
      <c r="A112" s="465" t="s">
        <v>109</v>
      </c>
      <c r="B112" s="466"/>
      <c r="C112" s="466"/>
      <c r="D112" s="466"/>
      <c r="E112" s="466"/>
      <c r="F112" s="466"/>
      <c r="G112" s="467"/>
    </row>
    <row r="113" spans="1:10" x14ac:dyDescent="0.2">
      <c r="A113" s="468" t="s">
        <v>0</v>
      </c>
      <c r="B113" s="458" t="s">
        <v>39</v>
      </c>
      <c r="C113" s="485"/>
      <c r="D113" s="486"/>
      <c r="E113" s="486"/>
      <c r="F113" s="487"/>
      <c r="G113" s="13">
        <v>2023</v>
      </c>
    </row>
    <row r="114" spans="1:10" ht="13.5" thickBot="1" x14ac:dyDescent="0.25">
      <c r="A114" s="469"/>
      <c r="B114" s="459"/>
      <c r="C114" s="488"/>
      <c r="D114" s="489"/>
      <c r="E114" s="489"/>
      <c r="F114" s="490"/>
      <c r="G114" s="14" t="s">
        <v>178</v>
      </c>
    </row>
    <row r="115" spans="1:10" ht="15" customHeight="1" x14ac:dyDescent="0.2">
      <c r="A115" s="238" t="s">
        <v>4</v>
      </c>
      <c r="B115" s="482" t="s">
        <v>21</v>
      </c>
      <c r="C115" s="483"/>
      <c r="D115" s="484"/>
      <c r="E115" s="216"/>
      <c r="F115" s="217"/>
      <c r="G115" s="218">
        <v>3900000</v>
      </c>
      <c r="H115" s="19">
        <f>SUM(G116:G116)</f>
        <v>3709160</v>
      </c>
      <c r="J115" s="19">
        <f>SUM(G115-H115)</f>
        <v>190840</v>
      </c>
    </row>
    <row r="116" spans="1:10" x14ac:dyDescent="0.2">
      <c r="A116" s="5"/>
      <c r="B116" s="479" t="s">
        <v>141</v>
      </c>
      <c r="C116" s="480"/>
      <c r="D116" s="481"/>
      <c r="E116" s="36"/>
      <c r="F116" s="38"/>
      <c r="G116" s="10">
        <v>3709160</v>
      </c>
    </row>
    <row r="117" spans="1:10" x14ac:dyDescent="0.2">
      <c r="A117" s="241" t="s">
        <v>114</v>
      </c>
      <c r="B117" s="494" t="s">
        <v>113</v>
      </c>
      <c r="C117" s="495"/>
      <c r="D117" s="496"/>
      <c r="E117" s="216"/>
      <c r="F117" s="217"/>
      <c r="G117" s="218"/>
    </row>
    <row r="118" spans="1:10" x14ac:dyDescent="0.2">
      <c r="A118" s="224" t="s">
        <v>66</v>
      </c>
      <c r="B118" s="494" t="s">
        <v>67</v>
      </c>
      <c r="C118" s="495"/>
      <c r="D118" s="496"/>
      <c r="E118" s="216"/>
      <c r="F118" s="217"/>
      <c r="G118" s="223">
        <v>60000</v>
      </c>
      <c r="H118" t="s">
        <v>160</v>
      </c>
    </row>
    <row r="119" spans="1:10" x14ac:dyDescent="0.2">
      <c r="A119" s="222" t="s">
        <v>6</v>
      </c>
      <c r="B119" s="494" t="s">
        <v>23</v>
      </c>
      <c r="C119" s="495"/>
      <c r="D119" s="496"/>
      <c r="E119" s="216"/>
      <c r="F119" s="217"/>
      <c r="G119" s="223">
        <f>SUM(G120)</f>
        <v>0</v>
      </c>
    </row>
    <row r="120" spans="1:10" x14ac:dyDescent="0.2">
      <c r="A120" s="5"/>
      <c r="B120" s="479"/>
      <c r="C120" s="480"/>
      <c r="D120" s="481"/>
      <c r="E120" s="36"/>
      <c r="F120" s="38"/>
      <c r="G120" s="10"/>
    </row>
    <row r="121" spans="1:10" ht="24.75" customHeight="1" x14ac:dyDescent="0.2">
      <c r="A121" s="222" t="s">
        <v>7</v>
      </c>
      <c r="B121" s="494" t="s">
        <v>24</v>
      </c>
      <c r="C121" s="495"/>
      <c r="D121" s="496"/>
      <c r="E121" s="216"/>
      <c r="F121" s="217"/>
      <c r="G121" s="223">
        <f>SUM(G122:G124)</f>
        <v>250000</v>
      </c>
    </row>
    <row r="122" spans="1:10" x14ac:dyDescent="0.2">
      <c r="A122" s="2"/>
      <c r="B122" s="479" t="s">
        <v>139</v>
      </c>
      <c r="C122" s="480"/>
      <c r="D122" s="481"/>
      <c r="E122" s="36">
        <v>60000</v>
      </c>
      <c r="F122" s="38">
        <v>1</v>
      </c>
      <c r="G122" s="9">
        <f>SUM(E122*F122)</f>
        <v>60000</v>
      </c>
    </row>
    <row r="123" spans="1:10" x14ac:dyDescent="0.2">
      <c r="A123" s="2"/>
      <c r="B123" s="479" t="s">
        <v>144</v>
      </c>
      <c r="C123" s="480"/>
      <c r="D123" s="481"/>
      <c r="E123" s="36">
        <v>12000</v>
      </c>
      <c r="F123" s="38">
        <v>1</v>
      </c>
      <c r="G123" s="9">
        <f>SUM(E123*F123)</f>
        <v>12000</v>
      </c>
    </row>
    <row r="124" spans="1:10" x14ac:dyDescent="0.2">
      <c r="A124" s="2"/>
      <c r="B124" s="479" t="s">
        <v>140</v>
      </c>
      <c r="C124" s="480"/>
      <c r="D124" s="481"/>
      <c r="E124" s="36"/>
      <c r="F124" s="38"/>
      <c r="G124" s="9">
        <v>178000</v>
      </c>
    </row>
    <row r="125" spans="1:10" ht="38.25" customHeight="1" thickBot="1" x14ac:dyDescent="0.25">
      <c r="A125" s="239" t="s">
        <v>8</v>
      </c>
      <c r="B125" s="521" t="s">
        <v>25</v>
      </c>
      <c r="C125" s="522"/>
      <c r="D125" s="523"/>
      <c r="E125" s="216"/>
      <c r="F125" s="217"/>
      <c r="G125" s="240"/>
    </row>
    <row r="126" spans="1:10" ht="13.5" thickBot="1" x14ac:dyDescent="0.25">
      <c r="A126" s="478" t="s">
        <v>35</v>
      </c>
      <c r="B126" s="460"/>
      <c r="C126" s="44"/>
      <c r="D126" s="44"/>
      <c r="E126" s="44"/>
      <c r="F126" s="45"/>
      <c r="G126" s="46">
        <f>SUM(G115,G117,G118,G119,G121,G125)</f>
        <v>4210000</v>
      </c>
    </row>
    <row r="127" spans="1:10" x14ac:dyDescent="0.2">
      <c r="A127" s="238" t="s">
        <v>9</v>
      </c>
      <c r="B127" s="482" t="s">
        <v>26</v>
      </c>
      <c r="C127" s="483"/>
      <c r="D127" s="484"/>
      <c r="E127" s="219"/>
      <c r="F127" s="263"/>
      <c r="G127" s="218"/>
    </row>
    <row r="128" spans="1:10" x14ac:dyDescent="0.2">
      <c r="A128" s="241" t="s">
        <v>9</v>
      </c>
      <c r="B128" s="508" t="s">
        <v>26</v>
      </c>
      <c r="C128" s="509"/>
      <c r="D128" s="510"/>
      <c r="E128" s="229">
        <f>SUM((G126-G116)*F128)</f>
        <v>65109.200000000004</v>
      </c>
      <c r="F128" s="263">
        <v>0.13</v>
      </c>
      <c r="G128" s="223">
        <v>520000</v>
      </c>
    </row>
    <row r="129" spans="1:10" x14ac:dyDescent="0.2">
      <c r="A129" s="239" t="s">
        <v>10</v>
      </c>
      <c r="B129" s="494" t="s">
        <v>27</v>
      </c>
      <c r="C129" s="495"/>
      <c r="D129" s="496"/>
      <c r="E129" s="253">
        <f>SUM(G118*F129)</f>
        <v>9000</v>
      </c>
      <c r="F129" s="263">
        <v>0.15</v>
      </c>
      <c r="G129" s="223">
        <v>15000</v>
      </c>
    </row>
    <row r="130" spans="1:10" x14ac:dyDescent="0.2">
      <c r="A130" s="239" t="s">
        <v>10</v>
      </c>
      <c r="B130" s="502" t="s">
        <v>27</v>
      </c>
      <c r="C130" s="503"/>
      <c r="D130" s="504"/>
      <c r="E130" s="232"/>
      <c r="F130" s="217"/>
      <c r="G130" s="240"/>
    </row>
    <row r="131" spans="1:10" ht="13.5" thickBot="1" x14ac:dyDescent="0.25">
      <c r="A131" s="456" t="s">
        <v>68</v>
      </c>
      <c r="B131" s="460"/>
      <c r="C131" s="44"/>
      <c r="D131" s="44"/>
      <c r="E131" s="44"/>
      <c r="F131" s="148"/>
      <c r="G131" s="149">
        <f>SUM(G127:G130)</f>
        <v>535000</v>
      </c>
    </row>
    <row r="132" spans="1:10" ht="13.5" thickBot="1" x14ac:dyDescent="0.25">
      <c r="A132" s="470" t="s">
        <v>40</v>
      </c>
      <c r="B132" s="471"/>
      <c r="C132" s="147"/>
      <c r="D132" s="147"/>
      <c r="E132" s="23"/>
      <c r="F132" s="39"/>
      <c r="G132" s="23">
        <f t="shared" ref="G132" si="2">G126+G131</f>
        <v>4745000</v>
      </c>
    </row>
    <row r="133" spans="1:10" x14ac:dyDescent="0.2">
      <c r="A133" s="465" t="s">
        <v>111</v>
      </c>
      <c r="B133" s="466"/>
      <c r="C133" s="466"/>
      <c r="D133" s="466"/>
      <c r="E133" s="466"/>
      <c r="F133" s="466"/>
      <c r="G133" s="467"/>
    </row>
    <row r="134" spans="1:10" x14ac:dyDescent="0.2">
      <c r="A134" s="468" t="s">
        <v>0</v>
      </c>
      <c r="B134" s="458" t="s">
        <v>39</v>
      </c>
      <c r="C134" s="485"/>
      <c r="D134" s="486"/>
      <c r="E134" s="486"/>
      <c r="F134" s="487"/>
      <c r="G134" s="13">
        <v>2023</v>
      </c>
    </row>
    <row r="135" spans="1:10" ht="13.5" thickBot="1" x14ac:dyDescent="0.25">
      <c r="A135" s="469"/>
      <c r="B135" s="459"/>
      <c r="C135" s="488"/>
      <c r="D135" s="489"/>
      <c r="E135" s="489"/>
      <c r="F135" s="490"/>
      <c r="G135" s="14" t="s">
        <v>178</v>
      </c>
    </row>
    <row r="136" spans="1:10" x14ac:dyDescent="0.2">
      <c r="A136" s="238" t="s">
        <v>4</v>
      </c>
      <c r="B136" s="482" t="s">
        <v>21</v>
      </c>
      <c r="C136" s="483"/>
      <c r="D136" s="484"/>
      <c r="E136" s="216"/>
      <c r="F136" s="217"/>
      <c r="G136" s="218">
        <v>20750000</v>
      </c>
      <c r="H136" s="19">
        <f>SUM(G137:G140)</f>
        <v>20712147</v>
      </c>
      <c r="J136" s="19">
        <f>SUM(G136-H136)</f>
        <v>37853</v>
      </c>
    </row>
    <row r="137" spans="1:10" x14ac:dyDescent="0.2">
      <c r="A137" s="5"/>
      <c r="B137" s="479" t="s">
        <v>188</v>
      </c>
      <c r="C137" s="480" t="s">
        <v>188</v>
      </c>
      <c r="D137" s="481" t="s">
        <v>188</v>
      </c>
      <c r="E137" s="7"/>
      <c r="F137" s="242"/>
      <c r="G137" s="10">
        <v>5765825</v>
      </c>
    </row>
    <row r="138" spans="1:10" x14ac:dyDescent="0.2">
      <c r="A138" s="5"/>
      <c r="B138" s="479" t="s">
        <v>189</v>
      </c>
      <c r="C138" s="480" t="s">
        <v>189</v>
      </c>
      <c r="D138" s="481" t="s">
        <v>189</v>
      </c>
      <c r="E138" s="7"/>
      <c r="F138" s="242"/>
      <c r="G138" s="10">
        <v>5185664</v>
      </c>
    </row>
    <row r="139" spans="1:10" x14ac:dyDescent="0.2">
      <c r="A139" s="5"/>
      <c r="B139" s="479" t="s">
        <v>190</v>
      </c>
      <c r="C139" s="480" t="s">
        <v>190</v>
      </c>
      <c r="D139" s="481" t="s">
        <v>190</v>
      </c>
      <c r="E139" s="152"/>
      <c r="F139" s="242"/>
      <c r="G139" s="10">
        <v>4931315</v>
      </c>
    </row>
    <row r="140" spans="1:10" x14ac:dyDescent="0.2">
      <c r="A140" s="5"/>
      <c r="B140" s="479" t="s">
        <v>191</v>
      </c>
      <c r="C140" s="480" t="s">
        <v>191</v>
      </c>
      <c r="D140" s="481" t="s">
        <v>191</v>
      </c>
      <c r="E140" s="152"/>
      <c r="F140" s="242"/>
      <c r="G140" s="10">
        <v>4829343</v>
      </c>
    </row>
    <row r="141" spans="1:10" x14ac:dyDescent="0.2">
      <c r="A141" s="241" t="s">
        <v>114</v>
      </c>
      <c r="B141" s="494" t="s">
        <v>113</v>
      </c>
      <c r="C141" s="495"/>
      <c r="D141" s="496"/>
      <c r="E141" s="244"/>
      <c r="F141" s="243"/>
      <c r="G141" s="218"/>
    </row>
    <row r="142" spans="1:10" ht="23.25" customHeight="1" x14ac:dyDescent="0.2">
      <c r="A142" s="241" t="s">
        <v>163</v>
      </c>
      <c r="B142" s="494" t="s">
        <v>164</v>
      </c>
      <c r="C142" s="495"/>
      <c r="D142" s="496"/>
      <c r="E142" s="216"/>
      <c r="F142" s="243"/>
      <c r="G142" s="218">
        <v>400000</v>
      </c>
    </row>
    <row r="143" spans="1:10" ht="12.75" customHeight="1" x14ac:dyDescent="0.2">
      <c r="A143" s="241" t="s">
        <v>105</v>
      </c>
      <c r="B143" s="380" t="s">
        <v>104</v>
      </c>
      <c r="C143" s="381"/>
      <c r="D143" s="382"/>
      <c r="E143" s="216"/>
      <c r="F143" s="243"/>
      <c r="G143" s="218">
        <v>960000</v>
      </c>
    </row>
    <row r="144" spans="1:10" x14ac:dyDescent="0.2">
      <c r="A144" s="224" t="s">
        <v>66</v>
      </c>
      <c r="B144" s="494" t="s">
        <v>67</v>
      </c>
      <c r="C144" s="495"/>
      <c r="D144" s="496"/>
      <c r="E144" s="216"/>
      <c r="F144" s="217"/>
      <c r="G144" s="223">
        <v>275000</v>
      </c>
      <c r="H144" t="s">
        <v>160</v>
      </c>
    </row>
    <row r="145" spans="1:7" x14ac:dyDescent="0.2">
      <c r="A145" s="222" t="s">
        <v>6</v>
      </c>
      <c r="B145" s="494" t="s">
        <v>23</v>
      </c>
      <c r="C145" s="495"/>
      <c r="D145" s="496"/>
      <c r="E145" s="216"/>
      <c r="F145" s="217"/>
      <c r="G145" s="223">
        <f>SUM(G146)</f>
        <v>0</v>
      </c>
    </row>
    <row r="146" spans="1:7" x14ac:dyDescent="0.2">
      <c r="A146" s="5"/>
      <c r="B146" s="479"/>
      <c r="C146" s="480"/>
      <c r="D146" s="481"/>
      <c r="E146" s="152"/>
      <c r="F146" s="242"/>
      <c r="G146" s="10"/>
    </row>
    <row r="147" spans="1:7" ht="24.75" customHeight="1" x14ac:dyDescent="0.2">
      <c r="A147" s="222" t="s">
        <v>7</v>
      </c>
      <c r="B147" s="494" t="s">
        <v>24</v>
      </c>
      <c r="C147" s="495"/>
      <c r="D147" s="496"/>
      <c r="E147" s="216"/>
      <c r="F147" s="217"/>
      <c r="G147" s="223">
        <f>SUM(G148:G150)</f>
        <v>1300000</v>
      </c>
    </row>
    <row r="148" spans="1:7" x14ac:dyDescent="0.2">
      <c r="A148" s="2"/>
      <c r="B148" s="479" t="s">
        <v>139</v>
      </c>
      <c r="C148" s="480"/>
      <c r="D148" s="481"/>
      <c r="E148" s="36">
        <v>60000</v>
      </c>
      <c r="F148" s="38">
        <v>3</v>
      </c>
      <c r="G148" s="9">
        <f>SUM(E148*F148)</f>
        <v>180000</v>
      </c>
    </row>
    <row r="149" spans="1:7" x14ac:dyDescent="0.2">
      <c r="A149" s="2"/>
      <c r="B149" s="479" t="s">
        <v>144</v>
      </c>
      <c r="C149" s="480"/>
      <c r="D149" s="481"/>
      <c r="E149" s="36">
        <v>12000</v>
      </c>
      <c r="F149" s="38">
        <v>3</v>
      </c>
      <c r="G149" s="9">
        <f>SUM(E149*F149)</f>
        <v>36000</v>
      </c>
    </row>
    <row r="150" spans="1:7" x14ac:dyDescent="0.2">
      <c r="A150" s="2"/>
      <c r="B150" s="479" t="s">
        <v>140</v>
      </c>
      <c r="C150" s="480"/>
      <c r="D150" s="481"/>
      <c r="E150" s="36"/>
      <c r="F150" s="38"/>
      <c r="G150" s="9">
        <v>1084000</v>
      </c>
    </row>
    <row r="151" spans="1:7" ht="36" customHeight="1" thickBot="1" x14ac:dyDescent="0.25">
      <c r="A151" s="239" t="s">
        <v>8</v>
      </c>
      <c r="B151" s="521" t="s">
        <v>25</v>
      </c>
      <c r="C151" s="522"/>
      <c r="D151" s="523"/>
      <c r="E151" s="216"/>
      <c r="F151" s="217"/>
      <c r="G151" s="240"/>
    </row>
    <row r="152" spans="1:7" ht="13.5" thickBot="1" x14ac:dyDescent="0.25">
      <c r="A152" s="478" t="s">
        <v>35</v>
      </c>
      <c r="B152" s="460"/>
      <c r="C152" s="44"/>
      <c r="D152" s="44"/>
      <c r="E152" s="44"/>
      <c r="F152" s="45"/>
      <c r="G152" s="46">
        <f>SUM(G136,G141,G144,G145,G147,G151,G142,G143)</f>
        <v>23685000</v>
      </c>
    </row>
    <row r="153" spans="1:7" x14ac:dyDescent="0.2">
      <c r="A153" s="241" t="s">
        <v>9</v>
      </c>
      <c r="B153" s="508" t="s">
        <v>26</v>
      </c>
      <c r="C153" s="509"/>
      <c r="D153" s="510"/>
      <c r="E153" s="219"/>
      <c r="F153" s="220"/>
      <c r="G153" s="221"/>
    </row>
    <row r="154" spans="1:7" x14ac:dyDescent="0.2">
      <c r="A154" s="241" t="s">
        <v>9</v>
      </c>
      <c r="B154" s="508" t="s">
        <v>26</v>
      </c>
      <c r="C154" s="509"/>
      <c r="D154" s="510"/>
      <c r="E154" s="216">
        <f>SUM(G152*F154)</f>
        <v>3079050</v>
      </c>
      <c r="F154" s="263">
        <v>0.13</v>
      </c>
      <c r="G154" s="218">
        <v>2950000</v>
      </c>
    </row>
    <row r="155" spans="1:7" x14ac:dyDescent="0.2">
      <c r="A155" s="239" t="s">
        <v>10</v>
      </c>
      <c r="B155" s="494" t="s">
        <v>27</v>
      </c>
      <c r="C155" s="495"/>
      <c r="D155" s="496"/>
      <c r="E155" s="229">
        <f>SUM(G144*F155)</f>
        <v>41250</v>
      </c>
      <c r="F155" s="279">
        <v>0.15</v>
      </c>
      <c r="G155" s="240">
        <v>40000</v>
      </c>
    </row>
    <row r="156" spans="1:7" ht="13.5" thickBot="1" x14ac:dyDescent="0.25">
      <c r="A156" s="239" t="s">
        <v>10</v>
      </c>
      <c r="B156" s="502" t="s">
        <v>27</v>
      </c>
      <c r="C156" s="503"/>
      <c r="D156" s="504"/>
      <c r="E156" s="253"/>
      <c r="F156" s="250"/>
      <c r="G156" s="240"/>
    </row>
    <row r="157" spans="1:7" ht="13.5" thickBot="1" x14ac:dyDescent="0.25">
      <c r="A157" s="456" t="s">
        <v>68</v>
      </c>
      <c r="B157" s="460"/>
      <c r="C157" s="44"/>
      <c r="D157" s="44"/>
      <c r="E157" s="44"/>
      <c r="F157" s="45"/>
      <c r="G157" s="46">
        <f>SUM(G153:G156)</f>
        <v>2990000</v>
      </c>
    </row>
    <row r="158" spans="1:7" ht="13.5" thickBot="1" x14ac:dyDescent="0.25">
      <c r="A158" s="470" t="s">
        <v>40</v>
      </c>
      <c r="B158" s="471"/>
      <c r="C158" s="147"/>
      <c r="D158" s="147"/>
      <c r="E158" s="23"/>
      <c r="F158" s="39"/>
      <c r="G158" s="23">
        <f>G152+G157</f>
        <v>26675000</v>
      </c>
    </row>
    <row r="159" spans="1:7" ht="13.5" thickBot="1" x14ac:dyDescent="0.25">
      <c r="A159" s="18"/>
      <c r="D159" s="19"/>
      <c r="E159" s="19"/>
      <c r="F159" s="19"/>
      <c r="G159" s="20"/>
    </row>
    <row r="160" spans="1:7" ht="13.5" thickBot="1" x14ac:dyDescent="0.25">
      <c r="A160" s="15" t="s">
        <v>49</v>
      </c>
      <c r="B160" s="16"/>
      <c r="C160" s="17"/>
      <c r="D160" s="17"/>
      <c r="E160" s="17"/>
      <c r="F160" s="58"/>
      <c r="G160" s="17">
        <f>SUM(G35,G63,G111,G132,G158)</f>
        <v>122243375</v>
      </c>
    </row>
    <row r="162" spans="7:7" x14ac:dyDescent="0.2">
      <c r="G162" s="19">
        <f>SUM(G160-'Bevételek COFOG'!H28)</f>
        <v>0</v>
      </c>
    </row>
  </sheetData>
  <mergeCells count="191">
    <mergeCell ref="B81:D81"/>
    <mergeCell ref="A126:B126"/>
    <mergeCell ref="B107:D107"/>
    <mergeCell ref="B82:D82"/>
    <mergeCell ref="B121:D121"/>
    <mergeCell ref="B122:D122"/>
    <mergeCell ref="B98:D98"/>
    <mergeCell ref="B125:D125"/>
    <mergeCell ref="B85:D85"/>
    <mergeCell ref="B92:D92"/>
    <mergeCell ref="B95:D95"/>
    <mergeCell ref="B87:D87"/>
    <mergeCell ref="B120:D120"/>
    <mergeCell ref="B89:D89"/>
    <mergeCell ref="B88:D88"/>
    <mergeCell ref="A112:G112"/>
    <mergeCell ref="B124:D124"/>
    <mergeCell ref="B123:D123"/>
    <mergeCell ref="B102:D102"/>
    <mergeCell ref="B103:D103"/>
    <mergeCell ref="E91:F91"/>
    <mergeCell ref="E85:F85"/>
    <mergeCell ref="E81:F81"/>
    <mergeCell ref="E83:F83"/>
    <mergeCell ref="B128:D128"/>
    <mergeCell ref="B129:D129"/>
    <mergeCell ref="B140:D140"/>
    <mergeCell ref="B138:D138"/>
    <mergeCell ref="A131:B131"/>
    <mergeCell ref="A132:B132"/>
    <mergeCell ref="B130:D130"/>
    <mergeCell ref="B146:D146"/>
    <mergeCell ref="B147:D147"/>
    <mergeCell ref="B69:D69"/>
    <mergeCell ref="B71:D71"/>
    <mergeCell ref="A113:A114"/>
    <mergeCell ref="A111:B111"/>
    <mergeCell ref="E71:F71"/>
    <mergeCell ref="B75:D75"/>
    <mergeCell ref="B76:D76"/>
    <mergeCell ref="E108:F108"/>
    <mergeCell ref="E90:F90"/>
    <mergeCell ref="E98:F98"/>
    <mergeCell ref="E89:F89"/>
    <mergeCell ref="E99:F99"/>
    <mergeCell ref="E101:F101"/>
    <mergeCell ref="B74:D74"/>
    <mergeCell ref="E93:F93"/>
    <mergeCell ref="B108:D108"/>
    <mergeCell ref="E86:F86"/>
    <mergeCell ref="E87:F87"/>
    <mergeCell ref="B97:D97"/>
    <mergeCell ref="A110:B110"/>
    <mergeCell ref="B79:D79"/>
    <mergeCell ref="B72:D72"/>
    <mergeCell ref="B113:B114"/>
    <mergeCell ref="E80:F80"/>
    <mergeCell ref="E77:F77"/>
    <mergeCell ref="E74:F74"/>
    <mergeCell ref="E76:F76"/>
    <mergeCell ref="C65:F66"/>
    <mergeCell ref="B56:D56"/>
    <mergeCell ref="E78:F78"/>
    <mergeCell ref="B54:D54"/>
    <mergeCell ref="B73:D73"/>
    <mergeCell ref="B149:D149"/>
    <mergeCell ref="B137:D137"/>
    <mergeCell ref="B139:D139"/>
    <mergeCell ref="B142:D142"/>
    <mergeCell ref="B148:D148"/>
    <mergeCell ref="B83:D83"/>
    <mergeCell ref="B58:D58"/>
    <mergeCell ref="B60:D60"/>
    <mergeCell ref="B90:D90"/>
    <mergeCell ref="B99:D99"/>
    <mergeCell ref="B101:D101"/>
    <mergeCell ref="B93:D93"/>
    <mergeCell ref="B61:D61"/>
    <mergeCell ref="A63:B63"/>
    <mergeCell ref="B80:D80"/>
    <mergeCell ref="A64:G64"/>
    <mergeCell ref="A65:A66"/>
    <mergeCell ref="B65:B66"/>
    <mergeCell ref="B59:D59"/>
    <mergeCell ref="E61:F61"/>
    <mergeCell ref="A62:B62"/>
    <mergeCell ref="B77:D77"/>
    <mergeCell ref="E79:F79"/>
    <mergeCell ref="E73:F73"/>
    <mergeCell ref="A36:G36"/>
    <mergeCell ref="A37:A38"/>
    <mergeCell ref="B37:B38"/>
    <mergeCell ref="E44:F44"/>
    <mergeCell ref="E45:F45"/>
    <mergeCell ref="E47:F47"/>
    <mergeCell ref="E48:F48"/>
    <mergeCell ref="B49:D49"/>
    <mergeCell ref="E56:F56"/>
    <mergeCell ref="B45:D45"/>
    <mergeCell ref="B46:D46"/>
    <mergeCell ref="E46:F46"/>
    <mergeCell ref="B51:D51"/>
    <mergeCell ref="B53:D53"/>
    <mergeCell ref="B52:D52"/>
    <mergeCell ref="A57:B57"/>
    <mergeCell ref="A158:B158"/>
    <mergeCell ref="A133:G133"/>
    <mergeCell ref="A134:A135"/>
    <mergeCell ref="B134:B135"/>
    <mergeCell ref="A152:B152"/>
    <mergeCell ref="A157:B157"/>
    <mergeCell ref="B136:D136"/>
    <mergeCell ref="B141:D141"/>
    <mergeCell ref="B144:D144"/>
    <mergeCell ref="B145:D145"/>
    <mergeCell ref="B151:D151"/>
    <mergeCell ref="B154:D154"/>
    <mergeCell ref="B156:D156"/>
    <mergeCell ref="B150:D150"/>
    <mergeCell ref="B155:D155"/>
    <mergeCell ref="B153:D153"/>
    <mergeCell ref="B47:D47"/>
    <mergeCell ref="B48:D48"/>
    <mergeCell ref="E50:F50"/>
    <mergeCell ref="E54:F54"/>
    <mergeCell ref="C113:F114"/>
    <mergeCell ref="C134:F135"/>
    <mergeCell ref="B23:D23"/>
    <mergeCell ref="B28:D28"/>
    <mergeCell ref="B31:D31"/>
    <mergeCell ref="B86:D86"/>
    <mergeCell ref="B127:D127"/>
    <mergeCell ref="B94:D94"/>
    <mergeCell ref="E95:F95"/>
    <mergeCell ref="A104:B104"/>
    <mergeCell ref="A106:B106"/>
    <mergeCell ref="B109:D109"/>
    <mergeCell ref="B115:D115"/>
    <mergeCell ref="B117:D117"/>
    <mergeCell ref="B118:D118"/>
    <mergeCell ref="B119:D119"/>
    <mergeCell ref="B116:D116"/>
    <mergeCell ref="B91:D91"/>
    <mergeCell ref="B96:D96"/>
    <mergeCell ref="B100:D100"/>
    <mergeCell ref="B84:D84"/>
    <mergeCell ref="A70:B70"/>
    <mergeCell ref="B14:D14"/>
    <mergeCell ref="A34:B34"/>
    <mergeCell ref="A35:B35"/>
    <mergeCell ref="B13:D13"/>
    <mergeCell ref="B15:D15"/>
    <mergeCell ref="B16:D16"/>
    <mergeCell ref="B17:D17"/>
    <mergeCell ref="B67:D67"/>
    <mergeCell ref="A68:B68"/>
    <mergeCell ref="B33:D33"/>
    <mergeCell ref="B50:D50"/>
    <mergeCell ref="B55:D55"/>
    <mergeCell ref="B40:D40"/>
    <mergeCell ref="B42:D42"/>
    <mergeCell ref="B30:D30"/>
    <mergeCell ref="B32:D32"/>
    <mergeCell ref="C37:F38"/>
    <mergeCell ref="E39:F39"/>
    <mergeCell ref="B39:D39"/>
    <mergeCell ref="B44:D44"/>
    <mergeCell ref="B43:D43"/>
    <mergeCell ref="B41:D41"/>
    <mergeCell ref="B20:D20"/>
    <mergeCell ref="A1:G1"/>
    <mergeCell ref="A2:G2"/>
    <mergeCell ref="A3:A4"/>
    <mergeCell ref="B3:B4"/>
    <mergeCell ref="A29:B29"/>
    <mergeCell ref="B18:D18"/>
    <mergeCell ref="B5:D5"/>
    <mergeCell ref="B11:D11"/>
    <mergeCell ref="C3:F4"/>
    <mergeCell ref="B9:D9"/>
    <mergeCell ref="B6:D6"/>
    <mergeCell ref="B7:D7"/>
    <mergeCell ref="B8:D8"/>
    <mergeCell ref="B10:D10"/>
    <mergeCell ref="B19:D19"/>
    <mergeCell ref="B21:D21"/>
    <mergeCell ref="B25:D25"/>
    <mergeCell ref="B24:D24"/>
    <mergeCell ref="B26:D26"/>
    <mergeCell ref="B12:D12"/>
    <mergeCell ref="B22:D22"/>
  </mergeCells>
  <phoneticPr fontId="27" type="noConversion"/>
  <pageMargins left="0.7" right="0.7" top="0.75" bottom="0.75" header="0.3" footer="0.3"/>
  <pageSetup paperSize="8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5</vt:i4>
      </vt:variant>
    </vt:vector>
  </HeadingPairs>
  <TitlesOfParts>
    <vt:vector size="11" baseType="lpstr">
      <vt:lpstr>Mérleg(Óvoda 2023)</vt:lpstr>
      <vt:lpstr>Bevételek(Óvoda 2023)</vt:lpstr>
      <vt:lpstr>Bevételek COFOG</vt:lpstr>
      <vt:lpstr>Kiadások(Óvoda 2023)</vt:lpstr>
      <vt:lpstr>Kiadások COFOG szerint</vt:lpstr>
      <vt:lpstr>Részletes cofogos</vt:lpstr>
      <vt:lpstr>'Bevételek COFOG'!Nyomtatási_terület</vt:lpstr>
      <vt:lpstr>'Bevételek(Óvoda 2023)'!Nyomtatási_terület</vt:lpstr>
      <vt:lpstr>'Kiadások COFOG szerint'!Nyomtatási_terület</vt:lpstr>
      <vt:lpstr>'Kiadások(Óvoda 2023)'!Nyomtatási_terület</vt:lpstr>
      <vt:lpstr>'Mérleg(Óvoda 2023)'!Nyomtatási_terület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SzZsuzsi</dc:creator>
  <cp:lastModifiedBy>Rozbora Timea</cp:lastModifiedBy>
  <cp:lastPrinted>2023-01-26T08:37:14Z</cp:lastPrinted>
  <dcterms:created xsi:type="dcterms:W3CDTF">2016-01-02T07:48:50Z</dcterms:created>
  <dcterms:modified xsi:type="dcterms:W3CDTF">2023-10-25T06:57:01Z</dcterms:modified>
</cp:coreProperties>
</file>