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3\2023.10.31\"/>
    </mc:Choice>
  </mc:AlternateContent>
  <xr:revisionPtr revIDLastSave="0" documentId="13_ncr:1_{76775FE7-4C16-4855-BDF3-505F6E7D6364}" xr6:coauthVersionLast="47" xr6:coauthVersionMax="47" xr10:uidLastSave="{00000000-0000-0000-0000-000000000000}"/>
  <workbookProtection workbookAlgorithmName="SHA-512" workbookHashValue="4RTRb+6zHVvKC7BxRwdcYHqKs77WN4OtGpRSXaTqWXj3pEoF/gt+1o5384rJYOrQrlw68cLDkWVJUjSt3Tc/YQ==" workbookSaltValue="4F03mt27aFLyK8/ZEK1qGw==" workbookSpinCount="100000" lockStructure="1"/>
  <bookViews>
    <workbookView xWindow="-120" yWindow="-120" windowWidth="29040" windowHeight="15840" xr2:uid="{00000000-000D-0000-FFFF-FFFF00000000}"/>
  </bookViews>
  <sheets>
    <sheet name="Mérleg(Műv.Ház 2023.)" sheetId="4" r:id="rId1"/>
    <sheet name="Bevételek(Műv.Ház 2023)" sheetId="7" r:id="rId2"/>
    <sheet name="Bevételek COFOG" sheetId="2" state="hidden" r:id="rId3"/>
    <sheet name="Kiadások(Műv.Ház 2023)" sheetId="3" r:id="rId4"/>
    <sheet name="Kiadások COFOG szerint" sheetId="5" state="hidden" r:id="rId5"/>
    <sheet name="Részletes cofogos" sheetId="8" state="hidden" r:id="rId6"/>
  </sheets>
  <definedNames>
    <definedName name="_xlnm._FilterDatabase" localSheetId="4" hidden="1">'Kiadások COFOG szerint'!$A$1:$A$68</definedName>
    <definedName name="_xlnm.Print_Area" localSheetId="2">'Bevételek COFOG'!$A$1:$H$26</definedName>
    <definedName name="_xlnm.Print_Area" localSheetId="1">'Bevételek(Műv.Ház 2023)'!$A$1:$H$20</definedName>
    <definedName name="_xlnm.Print_Area" localSheetId="4">'Kiadások COFOG szerint'!$A$1:$H$68</definedName>
    <definedName name="_xlnm.Print_Area" localSheetId="3">'Kiadások(Műv.Ház 2023)'!$A$1:$H$44</definedName>
    <definedName name="_xlnm.Print_Area" localSheetId="0">'Mérleg(Műv.Ház 2023.)'!$A$1:$P$30</definedName>
  </definedNames>
  <calcPr calcId="181029"/>
</workbook>
</file>

<file path=xl/calcChain.xml><?xml version="1.0" encoding="utf-8"?>
<calcChain xmlns="http://schemas.openxmlformats.org/spreadsheetml/2006/main">
  <c r="H14" i="4" l="1"/>
  <c r="F14" i="4"/>
  <c r="E14" i="4"/>
  <c r="D14" i="4"/>
  <c r="G14" i="4"/>
  <c r="C14" i="4"/>
  <c r="G16" i="7"/>
  <c r="G8" i="7"/>
  <c r="G9" i="7"/>
  <c r="G10" i="7"/>
  <c r="G11" i="7"/>
  <c r="G12" i="7"/>
  <c r="G13" i="7"/>
  <c r="D14" i="7"/>
  <c r="E14" i="7"/>
  <c r="F14" i="7"/>
  <c r="H14" i="7"/>
  <c r="C14" i="7"/>
  <c r="G23" i="2"/>
  <c r="G14" i="2"/>
  <c r="G11" i="2"/>
  <c r="G12" i="2"/>
  <c r="G10" i="2"/>
  <c r="G9" i="2"/>
  <c r="G15" i="2"/>
  <c r="G19" i="2"/>
  <c r="G20" i="2"/>
  <c r="G21" i="2"/>
  <c r="F31" i="5"/>
  <c r="I30" i="5"/>
  <c r="H10" i="2"/>
  <c r="F10" i="2" s="1"/>
  <c r="F13" i="2" l="1"/>
  <c r="H56" i="8"/>
  <c r="H55" i="8"/>
  <c r="F19" i="2" l="1"/>
  <c r="F14" i="2"/>
  <c r="F15" i="7" s="1"/>
  <c r="F12" i="2"/>
  <c r="F14" i="3"/>
  <c r="L18" i="4"/>
  <c r="L9" i="4"/>
  <c r="L16" i="4" s="1"/>
  <c r="L19" i="4" s="1"/>
  <c r="L10" i="4"/>
  <c r="L11" i="4"/>
  <c r="E10" i="2"/>
  <c r="E19" i="3" l="1"/>
  <c r="E21" i="3"/>
  <c r="E22" i="3"/>
  <c r="E23" i="3"/>
  <c r="E24" i="3"/>
  <c r="E25" i="3"/>
  <c r="E26" i="3"/>
  <c r="E27" i="3"/>
  <c r="E28" i="3"/>
  <c r="E29" i="3"/>
  <c r="E30" i="3"/>
  <c r="E31" i="3"/>
  <c r="E16" i="3"/>
  <c r="E14" i="3"/>
  <c r="E12" i="3"/>
  <c r="E13" i="3"/>
  <c r="E11" i="3"/>
  <c r="E10" i="3"/>
  <c r="E9" i="3"/>
  <c r="E8" i="3"/>
  <c r="D20" i="3"/>
  <c r="D68" i="5"/>
  <c r="D66" i="5"/>
  <c r="D65" i="5"/>
  <c r="E65" i="5"/>
  <c r="C65" i="5"/>
  <c r="D63" i="5"/>
  <c r="E63" i="5"/>
  <c r="E66" i="5" s="1"/>
  <c r="C63" i="5"/>
  <c r="D58" i="5"/>
  <c r="D57" i="5"/>
  <c r="D54" i="5"/>
  <c r="E54" i="5"/>
  <c r="D42" i="5"/>
  <c r="E42" i="5"/>
  <c r="D39" i="5"/>
  <c r="F36" i="5"/>
  <c r="D17" i="5"/>
  <c r="E17" i="5"/>
  <c r="C17" i="5"/>
  <c r="D26" i="5"/>
  <c r="F10" i="5"/>
  <c r="D12" i="5"/>
  <c r="E12" i="5"/>
  <c r="D35" i="3"/>
  <c r="D32" i="3"/>
  <c r="D17" i="3"/>
  <c r="D36" i="3" s="1"/>
  <c r="D38" i="3" s="1"/>
  <c r="D16" i="4"/>
  <c r="D19" i="4" s="1"/>
  <c r="E8" i="7"/>
  <c r="E10" i="4" s="1"/>
  <c r="E9" i="7"/>
  <c r="E11" i="4" s="1"/>
  <c r="E10" i="7"/>
  <c r="E17" i="4" s="1"/>
  <c r="E12" i="7"/>
  <c r="D16" i="7"/>
  <c r="E13" i="7"/>
  <c r="E13" i="4" s="1"/>
  <c r="E15" i="7"/>
  <c r="E15" i="4" s="1"/>
  <c r="D15" i="2"/>
  <c r="D23" i="2" s="1"/>
  <c r="D18" i="7" s="1"/>
  <c r="E15" i="2"/>
  <c r="D21" i="2"/>
  <c r="E21" i="2"/>
  <c r="E12" i="4" l="1"/>
  <c r="E11" i="7"/>
  <c r="E16" i="7" s="1"/>
  <c r="E23" i="2"/>
  <c r="E16" i="4"/>
  <c r="E19" i="4" s="1"/>
  <c r="E32" i="3"/>
  <c r="M11" i="4" s="1"/>
  <c r="C15" i="7"/>
  <c r="C15" i="4" s="1"/>
  <c r="H15" i="7"/>
  <c r="H15" i="4" s="1"/>
  <c r="G15" i="4" s="1"/>
  <c r="F15" i="4"/>
  <c r="H64" i="5"/>
  <c r="C66" i="5"/>
  <c r="H62" i="5"/>
  <c r="H88" i="8"/>
  <c r="C17" i="3"/>
  <c r="E18" i="7" l="1"/>
  <c r="H63" i="5"/>
  <c r="I62" i="5"/>
  <c r="F62" i="5"/>
  <c r="G62" i="5"/>
  <c r="H65" i="5"/>
  <c r="I64" i="5"/>
  <c r="F64" i="5"/>
  <c r="F65" i="5" s="1"/>
  <c r="G64" i="5"/>
  <c r="H66" i="5"/>
  <c r="H72" i="8"/>
  <c r="H71" i="8"/>
  <c r="H59" i="8"/>
  <c r="H52" i="8"/>
  <c r="H51" i="8"/>
  <c r="C39" i="5"/>
  <c r="H38" i="5"/>
  <c r="D45" i="8"/>
  <c r="H35" i="8"/>
  <c r="H43" i="8" s="1"/>
  <c r="D44" i="8" s="1"/>
  <c r="H31" i="5"/>
  <c r="I31" i="5" s="1"/>
  <c r="F63" i="5" l="1"/>
  <c r="F66" i="5" s="1"/>
  <c r="I66" i="5"/>
  <c r="G66" i="5"/>
  <c r="I38" i="5"/>
  <c r="G38" i="5"/>
  <c r="F38" i="5"/>
  <c r="F16" i="3" s="1"/>
  <c r="I65" i="5"/>
  <c r="G65" i="5"/>
  <c r="I63" i="5"/>
  <c r="G63" i="5"/>
  <c r="G31" i="5"/>
  <c r="F9" i="3"/>
  <c r="H9" i="3"/>
  <c r="G9" i="3" s="1"/>
  <c r="H16" i="3"/>
  <c r="G16" i="3" s="1"/>
  <c r="J10" i="8"/>
  <c r="J9" i="8"/>
  <c r="I30" i="8" l="1"/>
  <c r="H79" i="8" l="1"/>
  <c r="K73" i="8"/>
  <c r="K72" i="8"/>
  <c r="H69" i="8"/>
  <c r="K69" i="8" s="1"/>
  <c r="K62" i="8"/>
  <c r="K63" i="8"/>
  <c r="K61" i="8"/>
  <c r="H58" i="8"/>
  <c r="K57" i="8"/>
  <c r="K56" i="8"/>
  <c r="K55" i="8"/>
  <c r="H47" i="8"/>
  <c r="K53" i="8"/>
  <c r="K52" i="8"/>
  <c r="K51" i="8"/>
  <c r="K59" i="8"/>
  <c r="K49" i="8"/>
  <c r="K48" i="8"/>
  <c r="F13" i="8"/>
  <c r="F14" i="8"/>
  <c r="K71" i="8" l="1"/>
  <c r="H64" i="8"/>
  <c r="K64" i="8" s="1"/>
  <c r="H50" i="8"/>
  <c r="H54" i="8"/>
  <c r="K67" i="8"/>
  <c r="H23" i="8"/>
  <c r="K75" i="8" l="1"/>
  <c r="K8" i="8"/>
  <c r="H30" i="5" l="1"/>
  <c r="H32" i="5"/>
  <c r="I32" i="5" s="1"/>
  <c r="H33" i="5"/>
  <c r="H37" i="5"/>
  <c r="F37" i="5" s="1"/>
  <c r="F20" i="2"/>
  <c r="F11" i="2"/>
  <c r="F9" i="2"/>
  <c r="E22" i="5"/>
  <c r="E23" i="5"/>
  <c r="E24" i="5"/>
  <c r="E21" i="5"/>
  <c r="E19" i="5"/>
  <c r="I33" i="5" l="1"/>
  <c r="F33" i="5"/>
  <c r="F11" i="3" s="1"/>
  <c r="G33" i="5"/>
  <c r="G30" i="5"/>
  <c r="F30" i="5"/>
  <c r="F8" i="3" s="1"/>
  <c r="G32" i="5"/>
  <c r="F32" i="5"/>
  <c r="H8" i="3"/>
  <c r="G8" i="3" s="1"/>
  <c r="C13" i="7"/>
  <c r="C13" i="4" s="1"/>
  <c r="C12" i="7"/>
  <c r="C12" i="4" s="1"/>
  <c r="C10" i="7"/>
  <c r="C17" i="4" s="1"/>
  <c r="C9" i="7"/>
  <c r="C11" i="4" s="1"/>
  <c r="C8" i="7"/>
  <c r="C21" i="2"/>
  <c r="F10" i="3" l="1"/>
  <c r="C10" i="4"/>
  <c r="C11" i="7"/>
  <c r="C16" i="7" s="1"/>
  <c r="C16" i="4" l="1"/>
  <c r="C19" i="4" s="1"/>
  <c r="C15" i="2"/>
  <c r="C23" i="2" s="1"/>
  <c r="C31" i="3" l="1"/>
  <c r="C34" i="3"/>
  <c r="C33" i="3"/>
  <c r="C30" i="3"/>
  <c r="C29" i="3"/>
  <c r="C27" i="3"/>
  <c r="C28" i="3"/>
  <c r="C26" i="3"/>
  <c r="C25" i="3"/>
  <c r="C24" i="3"/>
  <c r="C23" i="3"/>
  <c r="C22" i="3"/>
  <c r="C21" i="3"/>
  <c r="C19" i="3"/>
  <c r="C18" i="3"/>
  <c r="C12" i="5"/>
  <c r="C42" i="5"/>
  <c r="C20" i="5"/>
  <c r="C26" i="5" s="1"/>
  <c r="C57" i="5"/>
  <c r="H56" i="5"/>
  <c r="H55" i="5"/>
  <c r="H49" i="5"/>
  <c r="F49" i="5" s="1"/>
  <c r="F27" i="3" s="1"/>
  <c r="C54" i="5"/>
  <c r="H53" i="5"/>
  <c r="H50" i="5"/>
  <c r="H51" i="5"/>
  <c r="H48" i="5"/>
  <c r="H46" i="5"/>
  <c r="H43" i="5"/>
  <c r="E36" i="5"/>
  <c r="H41" i="5"/>
  <c r="H40" i="5"/>
  <c r="C25" i="5"/>
  <c r="H82" i="8"/>
  <c r="H60" i="8"/>
  <c r="I41" i="5" l="1"/>
  <c r="F41" i="5"/>
  <c r="F19" i="3" s="1"/>
  <c r="G41" i="5"/>
  <c r="G48" i="5"/>
  <c r="F48" i="5"/>
  <c r="F26" i="3" s="1"/>
  <c r="I48" i="5"/>
  <c r="F43" i="5"/>
  <c r="I43" i="5"/>
  <c r="G43" i="5"/>
  <c r="F55" i="5"/>
  <c r="G55" i="5"/>
  <c r="G33" i="3" s="1"/>
  <c r="I40" i="5"/>
  <c r="F40" i="5"/>
  <c r="G40" i="5"/>
  <c r="I46" i="5"/>
  <c r="F46" i="5"/>
  <c r="F24" i="3" s="1"/>
  <c r="G46" i="5"/>
  <c r="G56" i="5"/>
  <c r="G34" i="3" s="1"/>
  <c r="F56" i="5"/>
  <c r="F34" i="3" s="1"/>
  <c r="I53" i="5"/>
  <c r="F53" i="5"/>
  <c r="F31" i="3" s="1"/>
  <c r="G53" i="5"/>
  <c r="F51" i="5"/>
  <c r="F29" i="3" s="1"/>
  <c r="I51" i="5"/>
  <c r="G51" i="5"/>
  <c r="I50" i="5"/>
  <c r="F50" i="5"/>
  <c r="F28" i="3" s="1"/>
  <c r="G50" i="5"/>
  <c r="H57" i="5"/>
  <c r="E56" i="5"/>
  <c r="E37" i="5"/>
  <c r="E55" i="5"/>
  <c r="K9" i="4"/>
  <c r="C58" i="5"/>
  <c r="C68" i="5" s="1"/>
  <c r="C20" i="3"/>
  <c r="K10" i="4" s="1"/>
  <c r="C32" i="3"/>
  <c r="K11" i="4" s="1"/>
  <c r="H31" i="3"/>
  <c r="G31" i="3" s="1"/>
  <c r="C35" i="3"/>
  <c r="K18" i="4" s="1"/>
  <c r="H35" i="5"/>
  <c r="H44" i="5"/>
  <c r="I44" i="5" s="1"/>
  <c r="H47" i="5"/>
  <c r="H27" i="3"/>
  <c r="I55" i="5" l="1"/>
  <c r="E33" i="3"/>
  <c r="E57" i="5"/>
  <c r="I57" i="5" s="1"/>
  <c r="E39" i="5"/>
  <c r="E15" i="3"/>
  <c r="E17" i="3" s="1"/>
  <c r="I56" i="5"/>
  <c r="E34" i="3"/>
  <c r="F57" i="5"/>
  <c r="F33" i="3"/>
  <c r="I35" i="5"/>
  <c r="G35" i="5"/>
  <c r="F35" i="5"/>
  <c r="F13" i="3" s="1"/>
  <c r="F47" i="5"/>
  <c r="F25" i="3" s="1"/>
  <c r="I47" i="5"/>
  <c r="G47" i="5"/>
  <c r="F18" i="3"/>
  <c r="F20" i="3" s="1"/>
  <c r="N10" i="4" s="1"/>
  <c r="F42" i="5"/>
  <c r="F44" i="5"/>
  <c r="G44" i="5"/>
  <c r="H34" i="5"/>
  <c r="F34" i="5" s="1"/>
  <c r="K16" i="4"/>
  <c r="K19" i="4" s="1"/>
  <c r="C36" i="3"/>
  <c r="H25" i="3"/>
  <c r="G25" i="3" s="1"/>
  <c r="H77" i="8"/>
  <c r="H45" i="5"/>
  <c r="H19" i="8"/>
  <c r="H16" i="5" s="1"/>
  <c r="I16" i="5" s="1"/>
  <c r="H12" i="8"/>
  <c r="M9" i="4" l="1"/>
  <c r="E35" i="3"/>
  <c r="M18" i="4" s="1"/>
  <c r="F12" i="3"/>
  <c r="F39" i="5"/>
  <c r="E58" i="5"/>
  <c r="F45" i="5"/>
  <c r="F23" i="3" s="1"/>
  <c r="I45" i="5"/>
  <c r="G45" i="5"/>
  <c r="F22" i="3"/>
  <c r="F16" i="5"/>
  <c r="G16" i="5"/>
  <c r="H39" i="5"/>
  <c r="G39" i="5" s="1"/>
  <c r="H52" i="5"/>
  <c r="H11" i="5"/>
  <c r="I11" i="5" s="1"/>
  <c r="H8" i="8"/>
  <c r="H9" i="5" s="1"/>
  <c r="I9" i="5" s="1"/>
  <c r="H46" i="8"/>
  <c r="H21" i="8"/>
  <c r="H54" i="5" l="1"/>
  <c r="G57" i="5" s="1"/>
  <c r="I52" i="5"/>
  <c r="F52" i="5"/>
  <c r="G52" i="5"/>
  <c r="I39" i="5"/>
  <c r="F17" i="5"/>
  <c r="F15" i="3"/>
  <c r="F9" i="5"/>
  <c r="F21" i="3" s="1"/>
  <c r="G9" i="5"/>
  <c r="G11" i="5"/>
  <c r="F11" i="5"/>
  <c r="H83" i="8"/>
  <c r="G54" i="5"/>
  <c r="H15" i="8"/>
  <c r="C18" i="7"/>
  <c r="I54" i="5" l="1"/>
  <c r="F30" i="3"/>
  <c r="F54" i="5"/>
  <c r="F58" i="5" s="1"/>
  <c r="F68" i="5" s="1"/>
  <c r="F12" i="5"/>
  <c r="H12" i="5"/>
  <c r="H21" i="2"/>
  <c r="G12" i="5" l="1"/>
  <c r="I12" i="5"/>
  <c r="H14" i="3"/>
  <c r="C38" i="3" l="1"/>
  <c r="H13" i="7" l="1"/>
  <c r="F13" i="7" s="1"/>
  <c r="H12" i="7"/>
  <c r="H10" i="7"/>
  <c r="H9" i="7"/>
  <c r="H8" i="7"/>
  <c r="F8" i="7" s="1"/>
  <c r="H30" i="3"/>
  <c r="G30" i="3" s="1"/>
  <c r="H26" i="3"/>
  <c r="G26" i="3" s="1"/>
  <c r="H22" i="3"/>
  <c r="G22" i="3" s="1"/>
  <c r="H21" i="3"/>
  <c r="G21" i="3" s="1"/>
  <c r="H34" i="3"/>
  <c r="H33" i="3"/>
  <c r="H29" i="3"/>
  <c r="G29" i="3" s="1"/>
  <c r="H28" i="3"/>
  <c r="G28" i="3" s="1"/>
  <c r="H24" i="3"/>
  <c r="G24" i="3" s="1"/>
  <c r="H23" i="3"/>
  <c r="G23" i="3" s="1"/>
  <c r="H19" i="3"/>
  <c r="G19" i="3" s="1"/>
  <c r="H15" i="3"/>
  <c r="G15" i="3" s="1"/>
  <c r="H13" i="3"/>
  <c r="G13" i="3" s="1"/>
  <c r="H12" i="3"/>
  <c r="H11" i="3"/>
  <c r="G11" i="3" s="1"/>
  <c r="H10" i="3"/>
  <c r="G10" i="3" s="1"/>
  <c r="H12" i="4" l="1"/>
  <c r="G12" i="4" s="1"/>
  <c r="F12" i="7"/>
  <c r="F35" i="3"/>
  <c r="N18" i="4" s="1"/>
  <c r="F17" i="3"/>
  <c r="N9" i="4" s="1"/>
  <c r="H17" i="3"/>
  <c r="H32" i="3"/>
  <c r="G32" i="3" s="1"/>
  <c r="H11" i="7"/>
  <c r="F11" i="7" s="1"/>
  <c r="H11" i="4"/>
  <c r="G11" i="4" s="1"/>
  <c r="F9" i="7"/>
  <c r="H17" i="4"/>
  <c r="G17" i="4" s="1"/>
  <c r="F10" i="7"/>
  <c r="H10" i="4"/>
  <c r="G10" i="4" s="1"/>
  <c r="H13" i="4"/>
  <c r="G13" i="4" s="1"/>
  <c r="P18" i="4"/>
  <c r="O18" i="4" s="1"/>
  <c r="H35" i="3"/>
  <c r="G35" i="3" s="1"/>
  <c r="H25" i="5"/>
  <c r="H16" i="4" l="1"/>
  <c r="G16" i="4" s="1"/>
  <c r="H16" i="7"/>
  <c r="G17" i="3"/>
  <c r="P11" i="4"/>
  <c r="O11" i="4" s="1"/>
  <c r="F32" i="3"/>
  <c r="N11" i="4" s="1"/>
  <c r="N16" i="4" s="1"/>
  <c r="N19" i="4" s="1"/>
  <c r="E25" i="5"/>
  <c r="H42" i="5"/>
  <c r="H15" i="2"/>
  <c r="F10" i="4"/>
  <c r="H58" i="5" l="1"/>
  <c r="G58" i="5" s="1"/>
  <c r="I42" i="5"/>
  <c r="G42" i="5"/>
  <c r="H23" i="2"/>
  <c r="H19" i="4"/>
  <c r="G19" i="4" s="1"/>
  <c r="F21" i="2"/>
  <c r="F11" i="4"/>
  <c r="F15" i="2"/>
  <c r="I58" i="5" l="1"/>
  <c r="F23" i="2"/>
  <c r="F17" i="4"/>
  <c r="G18" i="7"/>
  <c r="H18" i="7"/>
  <c r="H17" i="5"/>
  <c r="G17" i="5" l="1"/>
  <c r="I17" i="5"/>
  <c r="P9" i="4"/>
  <c r="O9" i="4" s="1"/>
  <c r="F12" i="4" l="1"/>
  <c r="F13" i="4" l="1"/>
  <c r="F16" i="7"/>
  <c r="F16" i="4" l="1"/>
  <c r="F19" i="4" s="1"/>
  <c r="F18" i="7" l="1"/>
  <c r="H18" i="5" l="1"/>
  <c r="H24" i="8"/>
  <c r="H20" i="5" l="1"/>
  <c r="H18" i="3"/>
  <c r="G18" i="3" s="1"/>
  <c r="H26" i="5"/>
  <c r="G26" i="5" s="1"/>
  <c r="E18" i="5"/>
  <c r="E20" i="5" l="1"/>
  <c r="E18" i="3"/>
  <c r="E20" i="3" s="1"/>
  <c r="E26" i="5"/>
  <c r="I26" i="5" s="1"/>
  <c r="H68" i="5"/>
  <c r="H20" i="3"/>
  <c r="H36" i="3" l="1"/>
  <c r="G36" i="3" s="1"/>
  <c r="G20" i="3"/>
  <c r="M10" i="4"/>
  <c r="M16" i="4" s="1"/>
  <c r="M19" i="4" s="1"/>
  <c r="E36" i="3"/>
  <c r="G68" i="5"/>
  <c r="E68" i="5"/>
  <c r="H26" i="2"/>
  <c r="P10" i="4"/>
  <c r="O10" i="4" s="1"/>
  <c r="F36" i="3"/>
  <c r="F38" i="3" s="1"/>
  <c r="E38" i="3" l="1"/>
  <c r="I68" i="5"/>
  <c r="H38" i="3"/>
  <c r="G38" i="3"/>
  <c r="P16" i="4"/>
  <c r="O16" i="4" s="1"/>
  <c r="P19" i="4" l="1"/>
  <c r="O19" i="4" s="1"/>
  <c r="H90" i="8"/>
  <c r="H91" i="8" s="1"/>
  <c r="H92" i="8" s="1"/>
  <c r="H70" i="5" s="1"/>
</calcChain>
</file>

<file path=xl/sharedStrings.xml><?xml version="1.0" encoding="utf-8"?>
<sst xmlns="http://schemas.openxmlformats.org/spreadsheetml/2006/main" count="440" uniqueCount="174">
  <si>
    <t>Főkönyvi szám</t>
  </si>
  <si>
    <t>Kiadások összesen</t>
  </si>
  <si>
    <t>0981311</t>
  </si>
  <si>
    <t>098161</t>
  </si>
  <si>
    <t>05110111</t>
  </si>
  <si>
    <t>0511091</t>
  </si>
  <si>
    <t>0511101</t>
  </si>
  <si>
    <t>0511131</t>
  </si>
  <si>
    <t>051221</t>
  </si>
  <si>
    <t>05211</t>
  </si>
  <si>
    <t>05261</t>
  </si>
  <si>
    <t>053111</t>
  </si>
  <si>
    <t>053121</t>
  </si>
  <si>
    <t>0532211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</si>
  <si>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</si>
  <si>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</si>
  <si>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</si>
  <si>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</si>
  <si>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</si>
  <si>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</si>
  <si>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</si>
  <si>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</si>
  <si>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</si>
  <si>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</si>
  <si>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</si>
  <si>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</si>
  <si>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</si>
  <si>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Más járulék fizetési kötelezettség</t>
  </si>
  <si>
    <t>Szakmai anyagok beszerzése</t>
  </si>
  <si>
    <t>Üzemeltetési anyagok beszerzése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</si>
  <si>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</si>
  <si>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</si>
  <si>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</si>
  <si>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</si>
  <si>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</si>
  <si>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</si>
  <si>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</si>
  <si>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</si>
  <si>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</si>
  <si>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Főkönyvi szám név</t>
  </si>
  <si>
    <t>Kiadás összesen:</t>
  </si>
  <si>
    <t>Kiadások kormányati funkciók (COFOG) szerinti bontásban</t>
  </si>
  <si>
    <t>Intézmény fin.(állami tám.)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</si>
  <si>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</si>
  <si>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</si>
  <si>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</si>
  <si>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</si>
  <si>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</si>
  <si>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</si>
  <si>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adatok: Ft-ban</t>
  </si>
  <si>
    <t xml:space="preserve">Összes intézményi kiadás: </t>
  </si>
  <si>
    <t>adatok: ezer Ft-ban</t>
  </si>
  <si>
    <t>Megnevezés</t>
  </si>
  <si>
    <t>052</t>
  </si>
  <si>
    <t>053</t>
  </si>
  <si>
    <t>09813</t>
  </si>
  <si>
    <t>09816</t>
  </si>
  <si>
    <t>-ebből állami normatív támogatás</t>
  </si>
  <si>
    <t>%</t>
  </si>
  <si>
    <t>Eredeti EI</t>
  </si>
  <si>
    <t>051</t>
  </si>
  <si>
    <t>Egyéb dologi kiadások - kerekítési különbözet</t>
  </si>
  <si>
    <t>09411</t>
  </si>
  <si>
    <t xml:space="preserve">Egyéb működési bevételek </t>
  </si>
  <si>
    <t>Összesen:</t>
  </si>
  <si>
    <t>Bevételek összesen:</t>
  </si>
  <si>
    <t>0511071</t>
  </si>
  <si>
    <t>Béren kívüli juttatások</t>
  </si>
  <si>
    <t>Munkaadót terhelő járulékok:</t>
  </si>
  <si>
    <t>053211</t>
  </si>
  <si>
    <t>Informatikai szolgáltatások igénybevétele</t>
  </si>
  <si>
    <t xml:space="preserve">Egyéb kommunikációs szolgáltatások </t>
  </si>
  <si>
    <t>05231</t>
  </si>
  <si>
    <t>05237</t>
  </si>
  <si>
    <t>Munkáltatót terhelő személyi jövedelemadó kiadásai</t>
  </si>
  <si>
    <t>053221</t>
  </si>
  <si>
    <t>09161</t>
  </si>
  <si>
    <t xml:space="preserve">Egyéb működési c. tám. </t>
  </si>
  <si>
    <t>Tárgyévi működési bevételek</t>
  </si>
  <si>
    <t>082042 - Könyvtári állomány gyarapítása, nyilvántartása</t>
  </si>
  <si>
    <t>082044 - Könyvtári szolgáltatások</t>
  </si>
  <si>
    <t>Könyvtáros megbízási díja</t>
  </si>
  <si>
    <t>053341</t>
  </si>
  <si>
    <t>Karbantartás, kisjavítási szolgáltatások</t>
  </si>
  <si>
    <t>053311</t>
  </si>
  <si>
    <t>Villamos energia</t>
  </si>
  <si>
    <t>Gázdíj</t>
  </si>
  <si>
    <t>0533121</t>
  </si>
  <si>
    <t>0533111</t>
  </si>
  <si>
    <t>0533131</t>
  </si>
  <si>
    <t>Víz-, és csatornadíj</t>
  </si>
  <si>
    <t>05641</t>
  </si>
  <si>
    <t>Egyéb tárgyi eszközök beszerzése</t>
  </si>
  <si>
    <t>05671</t>
  </si>
  <si>
    <t xml:space="preserve">Beruházási kiadások </t>
  </si>
  <si>
    <t>Beruházási célú, előzetesen felszámított általános forgalmi adó</t>
  </si>
  <si>
    <t>018030 - Támogatási célú finanszírozási műveletek</t>
  </si>
  <si>
    <t>082092 - Közművelődés - hagyományos közösségi kulturális értékek gondozása</t>
  </si>
  <si>
    <t>082092 - Közművelődés, hagyományos közösségi kulturális értékek gondozása</t>
  </si>
  <si>
    <t>Bevételek kormányati funkciók (COFOG) szerinti bontásban</t>
  </si>
  <si>
    <t>-ebből fenntartói támogatás (Piliscsév Község Önk.)</t>
  </si>
  <si>
    <t>094041</t>
  </si>
  <si>
    <t>Tulajdonosi bevételek</t>
  </si>
  <si>
    <t xml:space="preserve">Közüzemi díjak </t>
  </si>
  <si>
    <t>Karbantartás, kisjavítás szolgáltatások</t>
  </si>
  <si>
    <t>Beruházások, fejlesztések</t>
  </si>
  <si>
    <t>Bevételek összesen</t>
  </si>
  <si>
    <t>09404</t>
  </si>
  <si>
    <t>056</t>
  </si>
  <si>
    <t>Beruházások</t>
  </si>
  <si>
    <t>0511121</t>
  </si>
  <si>
    <t>Szociális támogatások</t>
  </si>
  <si>
    <t>051121</t>
  </si>
  <si>
    <t>Változás</t>
  </si>
  <si>
    <t>Ellenőrzés</t>
  </si>
  <si>
    <t>Ellenőrzés:</t>
  </si>
  <si>
    <t>Kálmánfi Béla Művelődési Ház és Könyvtár</t>
  </si>
  <si>
    <t>Szirénlib</t>
  </si>
  <si>
    <t>Normatíva 10%-a</t>
  </si>
  <si>
    <t>Bendur Irénke bére</t>
  </si>
  <si>
    <t>Csapucha Katalin</t>
  </si>
  <si>
    <t>Tóth Ferenc Zoltánné</t>
  </si>
  <si>
    <t>Betegszabadság</t>
  </si>
  <si>
    <t>tisztítószer</t>
  </si>
  <si>
    <t>egyéb üzemeltetési anyag</t>
  </si>
  <si>
    <t>Telefon</t>
  </si>
  <si>
    <t>Közüzemi díjak</t>
  </si>
  <si>
    <t>053361</t>
  </si>
  <si>
    <t>Szakmai tevékenységet segítő szolgáltatások teljesítése</t>
  </si>
  <si>
    <t>Szakmai tevékenységet segítő szolgáltatás</t>
  </si>
  <si>
    <t>Tulajdonosi bevétel</t>
  </si>
  <si>
    <t>Működési bevétel</t>
  </si>
  <si>
    <t>055</t>
  </si>
  <si>
    <t>Tartalékok</t>
  </si>
  <si>
    <t>Egyéb működési célú támogatások államháztartáson belülrre</t>
  </si>
  <si>
    <t>055061</t>
  </si>
  <si>
    <t>Könyvtárellátó</t>
  </si>
  <si>
    <t>ludové noviny</t>
  </si>
  <si>
    <t>egyéb szakmai anyag</t>
  </si>
  <si>
    <t>irodaszer</t>
  </si>
  <si>
    <t>mobilnet</t>
  </si>
  <si>
    <t>internet</t>
  </si>
  <si>
    <t>egyéb</t>
  </si>
  <si>
    <t>tűzoltókészülék karb.</t>
  </si>
  <si>
    <t>AAM</t>
  </si>
  <si>
    <t>egyéb karbantartás</t>
  </si>
  <si>
    <t>bankköltség</t>
  </si>
  <si>
    <t>ÁHK</t>
  </si>
  <si>
    <t>hulladékszállítás</t>
  </si>
  <si>
    <t>rágcsálóírtás</t>
  </si>
  <si>
    <t>bankköltség 2 fő</t>
  </si>
  <si>
    <t>Önkéntes EP 2 fő részére, betegszabadság</t>
  </si>
  <si>
    <t>2023. évi eredeti EI</t>
  </si>
  <si>
    <t>EP</t>
  </si>
  <si>
    <t>0511031</t>
  </si>
  <si>
    <t>Céljuttatás</t>
  </si>
  <si>
    <t>megbízás Tóth Z-né</t>
  </si>
  <si>
    <t>megbízás CSK</t>
  </si>
  <si>
    <t>051231</t>
  </si>
  <si>
    <t>Egyéb külső személyi juttatások</t>
  </si>
  <si>
    <t>Egyéb külső személyi juttatás</t>
  </si>
  <si>
    <t>I. sz módosítás</t>
  </si>
  <si>
    <t>Járulékok</t>
  </si>
  <si>
    <t>082094 - Közművelődés - Kulturális alapú gazdaságfejlesztés</t>
  </si>
  <si>
    <t>-ebből 2023. évi bértámogatás</t>
  </si>
  <si>
    <t>-ebből 2023. évi bérkiegészítés</t>
  </si>
  <si>
    <t>Intézmény fin.(2023.bérkiegészítés</t>
  </si>
  <si>
    <t>II. sz módosítás</t>
  </si>
  <si>
    <t>Teljesítés</t>
  </si>
  <si>
    <t>I.sz módosítás</t>
  </si>
  <si>
    <t>2023. II. sz előirányzat módosítás</t>
  </si>
  <si>
    <t>kazán karbantartás</t>
  </si>
  <si>
    <t>-ebből 2023. évi kiegészítő támogatás</t>
  </si>
  <si>
    <t>Intézmény fin.(kiegészítő tám.)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</si>
</sst>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[$-1040E]#,##0\ &quot;Ft&quot;"/>
  </numFmts>
  <fonts count="28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7"/>
      <color indexed="8"/>
      <name val="Verdana"/>
      <family val="2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b/>
      <i/>
      <sz val="7"/>
      <color indexed="8"/>
      <name val="Verdana"/>
      <family val="2"/>
      <charset val="238"/>
    </font>
    <font>
      <b/>
      <sz val="10"/>
      <name val="Verdana"/>
      <family val="2"/>
      <charset val="238"/>
    </font>
    <font>
      <b/>
      <sz val="7"/>
      <name val="Verdana"/>
      <family val="2"/>
      <charset val="238"/>
    </font>
    <font>
      <sz val="7"/>
      <name val="Verdana"/>
      <family val="2"/>
      <charset val="238"/>
    </font>
    <font>
      <i/>
      <sz val="7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b/>
      <i/>
      <sz val="8"/>
      <name val="Verdana"/>
      <family val="2"/>
      <charset val="238"/>
    </font>
    <font>
      <i/>
      <sz val="8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0" fillId="0" borderId="0" quotePrefix="1" applyFont="0" applyFill="0" applyBorder="0" applyAlignment="0">
      <protection locked="0"/>
    </xf>
    <xf numFmtId="9" fontId="10" fillId="0" borderId="0" quotePrefix="1" applyFont="0" applyFill="0" applyBorder="0" applyAlignment="0">
      <protection locked="0"/>
    </xf>
  </cellStyleXfs>
  <cellXfs count="482">
    <xf numFmtId="0" fontId="0" fillId="0" borderId="0" xfId="0"/>
    <xf numFmtId="0" fontId="9" fillId="0" borderId="2" xfId="0" applyFont="1" applyBorder="1" applyAlignment="1" applyProtection="1">
      <alignment vertical="center" wrapText="1" readingOrder="1"/>
      <protection locked="0"/>
    </xf>
    <xf numFmtId="0" fontId="9" fillId="0" borderId="11" xfId="0" applyFont="1" applyBorder="1" applyAlignment="1" applyProtection="1">
      <alignment vertical="center" wrapText="1" readingOrder="1"/>
      <protection locked="0"/>
    </xf>
    <xf numFmtId="0" fontId="9" fillId="0" borderId="5" xfId="0" applyFont="1" applyBorder="1" applyAlignment="1" applyProtection="1">
      <alignment vertical="center" wrapText="1" readingOrder="1"/>
      <protection locked="0"/>
    </xf>
    <xf numFmtId="0" fontId="9" fillId="0" borderId="6" xfId="0" applyFont="1" applyBorder="1" applyAlignment="1" applyProtection="1">
      <alignment vertical="center" wrapText="1" readingOrder="1"/>
      <protection locked="0"/>
    </xf>
    <xf numFmtId="0" fontId="2" fillId="0" borderId="0" xfId="0" applyFont="1"/>
    <xf numFmtId="0" fontId="9" fillId="0" borderId="3" xfId="0" applyFont="1" applyBorder="1" applyAlignment="1" applyProtection="1">
      <alignment vertical="center" wrapText="1" readingOrder="1"/>
      <protection locked="0"/>
    </xf>
    <xf numFmtId="0" fontId="9" fillId="0" borderId="4" xfId="0" applyFont="1" applyBorder="1" applyAlignment="1" applyProtection="1">
      <alignment vertical="center" wrapText="1" readingOrder="1"/>
      <protection locked="0"/>
    </xf>
    <xf numFmtId="0" fontId="12" fillId="0" borderId="0" xfId="0" applyFont="1" applyAlignment="1">
      <alignment horizontal="right"/>
    </xf>
    <xf numFmtId="3" fontId="9" fillId="0" borderId="2" xfId="0" applyNumberFormat="1" applyFont="1" applyBorder="1" applyAlignment="1" applyProtection="1">
      <alignment vertical="center" wrapText="1" readingOrder="1"/>
      <protection locked="0"/>
    </xf>
    <xf numFmtId="3" fontId="9" fillId="0" borderId="15" xfId="0" applyNumberFormat="1" applyFont="1" applyBorder="1" applyAlignment="1" applyProtection="1">
      <alignment vertical="center" wrapText="1" readingOrder="1"/>
      <protection locked="0"/>
    </xf>
    <xf numFmtId="3" fontId="9" fillId="0" borderId="20" xfId="0" applyNumberFormat="1" applyFont="1" applyBorder="1" applyAlignment="1" applyProtection="1">
      <alignment vertical="center" wrapText="1" readingOrder="1"/>
      <protection locked="0"/>
    </xf>
    <xf numFmtId="3" fontId="9" fillId="0" borderId="16" xfId="0" applyNumberFormat="1" applyFont="1" applyBorder="1" applyAlignment="1" applyProtection="1">
      <alignment vertical="center" wrapText="1" readingOrder="1"/>
      <protection locked="0"/>
    </xf>
    <xf numFmtId="3" fontId="9" fillId="0" borderId="4" xfId="0" applyNumberFormat="1" applyFont="1" applyBorder="1" applyAlignment="1" applyProtection="1">
      <alignment vertical="center" wrapText="1" readingOrder="1"/>
      <protection locked="0"/>
    </xf>
    <xf numFmtId="3" fontId="1" fillId="3" borderId="0" xfId="0" applyNumberFormat="1" applyFont="1" applyFill="1" applyAlignment="1">
      <alignment horizontal="right" vertical="center" wrapText="1" shrinkToFit="1"/>
    </xf>
    <xf numFmtId="3" fontId="13" fillId="0" borderId="0" xfId="0" applyNumberFormat="1" applyFont="1"/>
    <xf numFmtId="0" fontId="8" fillId="12" borderId="15" xfId="0" applyFont="1" applyFill="1" applyBorder="1" applyAlignment="1" applyProtection="1">
      <alignment horizontal="center" vertical="center" wrapText="1" readingOrder="1"/>
      <protection locked="0"/>
    </xf>
    <xf numFmtId="0" fontId="8" fillId="12" borderId="19" xfId="0" applyFont="1" applyFill="1" applyBorder="1" applyAlignment="1" applyProtection="1">
      <alignment horizontal="center" vertical="center" wrapText="1" readingOrder="1"/>
      <protection locked="0"/>
    </xf>
    <xf numFmtId="0" fontId="3" fillId="12" borderId="26" xfId="0" applyFont="1" applyFill="1" applyBorder="1"/>
    <xf numFmtId="0" fontId="3" fillId="12" borderId="27" xfId="0" applyFont="1" applyFill="1" applyBorder="1"/>
    <xf numFmtId="3" fontId="3" fillId="12" borderId="25" xfId="0" applyNumberFormat="1" applyFont="1" applyFill="1" applyBorder="1"/>
    <xf numFmtId="0" fontId="0" fillId="0" borderId="32" xfId="0" applyBorder="1"/>
    <xf numFmtId="3" fontId="0" fillId="0" borderId="0" xfId="0" applyNumberFormat="1"/>
    <xf numFmtId="3" fontId="0" fillId="0" borderId="33" xfId="0" applyNumberFormat="1" applyBorder="1"/>
    <xf numFmtId="0" fontId="9" fillId="0" borderId="22" xfId="0" applyFont="1" applyBorder="1" applyAlignment="1" applyProtection="1">
      <alignment vertical="center" wrapText="1" readingOrder="1"/>
      <protection locked="0"/>
    </xf>
    <xf numFmtId="3" fontId="11" fillId="12" borderId="8" xfId="0" applyNumberFormat="1" applyFont="1" applyFill="1" applyBorder="1" applyAlignment="1" applyProtection="1">
      <alignment vertical="center" wrapText="1" readingOrder="1"/>
      <protection locked="0"/>
    </xf>
    <xf numFmtId="49" fontId="9" fillId="0" borderId="5" xfId="0" applyNumberFormat="1" applyFont="1" applyBorder="1" applyAlignment="1" applyProtection="1">
      <alignment vertical="center" wrapText="1" readingOrder="1"/>
      <protection locked="0"/>
    </xf>
    <xf numFmtId="3" fontId="5" fillId="0" borderId="0" xfId="1" applyNumberFormat="1" applyFont="1" applyFill="1" applyBorder="1" applyAlignment="1">
      <protection locked="0"/>
    </xf>
    <xf numFmtId="3" fontId="5" fillId="0" borderId="0" xfId="1" applyNumberFormat="1" applyFont="1" applyFill="1" applyBorder="1">
      <protection locked="0"/>
    </xf>
    <xf numFmtId="3" fontId="4" fillId="0" borderId="0" xfId="1" applyNumberFormat="1" applyFont="1" applyFill="1" applyBorder="1" applyAlignment="1">
      <alignment horizontal="right"/>
      <protection locked="0"/>
    </xf>
    <xf numFmtId="0" fontId="14" fillId="0" borderId="0" xfId="0" applyFont="1"/>
    <xf numFmtId="3" fontId="15" fillId="0" borderId="0" xfId="1" applyNumberFormat="1" applyFont="1" applyFill="1" applyBorder="1">
      <protection locked="0"/>
    </xf>
    <xf numFmtId="3" fontId="14" fillId="0" borderId="0" xfId="0" applyNumberFormat="1" applyFont="1"/>
    <xf numFmtId="0" fontId="8" fillId="12" borderId="1" xfId="0" applyFont="1" applyFill="1" applyBorder="1" applyAlignment="1" applyProtection="1">
      <alignment horizontal="center" vertical="center" wrapText="1" readingOrder="1"/>
      <protection locked="0"/>
    </xf>
    <xf numFmtId="0" fontId="9" fillId="0" borderId="29" xfId="0" applyFont="1" applyBorder="1" applyAlignment="1" applyProtection="1">
      <alignment vertical="center" wrapText="1" readingOrder="1"/>
      <protection locked="0"/>
    </xf>
    <xf numFmtId="0" fontId="9" fillId="0" borderId="31" xfId="0" applyFont="1" applyBorder="1" applyAlignment="1" applyProtection="1">
      <alignment vertical="center" wrapText="1" readingOrder="1"/>
      <protection locked="0"/>
    </xf>
    <xf numFmtId="0" fontId="9" fillId="0" borderId="34" xfId="0" applyFont="1" applyBorder="1" applyAlignment="1" applyProtection="1">
      <alignment vertical="center" wrapText="1" readingOrder="1"/>
      <protection locked="0"/>
    </xf>
    <xf numFmtId="0" fontId="9" fillId="0" borderId="42" xfId="0" applyFont="1" applyBorder="1" applyAlignment="1" applyProtection="1">
      <alignment vertical="center" wrapText="1" readingOrder="1"/>
      <protection locked="0"/>
    </xf>
    <xf numFmtId="3" fontId="9" fillId="0" borderId="30" xfId="0" applyNumberFormat="1" applyFont="1" applyBorder="1" applyAlignment="1" applyProtection="1">
      <alignment vertical="center" wrapText="1" readingOrder="1"/>
      <protection locked="0"/>
    </xf>
    <xf numFmtId="49" fontId="9" fillId="0" borderId="11" xfId="0" applyNumberFormat="1" applyFont="1" applyBorder="1" applyAlignment="1" applyProtection="1">
      <alignment vertical="center" wrapText="1" readingOrder="1"/>
      <protection locked="0"/>
    </xf>
    <xf numFmtId="3" fontId="9" fillId="0" borderId="4" xfId="0" applyNumberFormat="1" applyFont="1" applyBorder="1" applyAlignment="1" applyProtection="1">
      <alignment horizontal="center" vertical="center" wrapText="1" readingOrder="1"/>
      <protection locked="0"/>
    </xf>
    <xf numFmtId="3" fontId="8" fillId="12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11" fillId="12" borderId="8" xfId="0" applyNumberFormat="1" applyFont="1" applyFill="1" applyBorder="1" applyAlignment="1" applyProtection="1">
      <alignment horizontal="center" vertical="center" wrapText="1" readingOrder="1"/>
      <protection locked="0"/>
    </xf>
    <xf numFmtId="3" fontId="9" fillId="0" borderId="23" xfId="0" applyNumberFormat="1" applyFont="1" applyBorder="1" applyAlignment="1" applyProtection="1">
      <alignment vertical="center" wrapText="1" readingOrder="1"/>
      <protection locked="0"/>
    </xf>
    <xf numFmtId="0" fontId="12" fillId="0" borderId="0" xfId="0" applyFont="1"/>
    <xf numFmtId="3" fontId="9" fillId="0" borderId="2" xfId="0" applyNumberFormat="1" applyFont="1" applyBorder="1" applyAlignment="1" applyProtection="1">
      <alignment horizontal="center" vertical="center" wrapText="1" readingOrder="1"/>
      <protection locked="0"/>
    </xf>
    <xf numFmtId="3" fontId="9" fillId="0" borderId="23" xfId="0" applyNumberFormat="1" applyFont="1" applyBorder="1" applyAlignment="1" applyProtection="1">
      <alignment horizontal="center" vertical="center" wrapText="1" readingOrder="1"/>
      <protection locked="0"/>
    </xf>
    <xf numFmtId="3" fontId="8" fillId="14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8" fillId="14" borderId="8" xfId="0" applyNumberFormat="1" applyFont="1" applyFill="1" applyBorder="1" applyAlignment="1" applyProtection="1">
      <alignment vertical="center" wrapText="1" readingOrder="1"/>
      <protection locked="0"/>
    </xf>
    <xf numFmtId="3" fontId="8" fillId="14" borderId="7" xfId="0" applyNumberFormat="1" applyFont="1" applyFill="1" applyBorder="1" applyAlignment="1" applyProtection="1">
      <alignment vertical="center" wrapText="1" readingOrder="1"/>
      <protection locked="0"/>
    </xf>
    <xf numFmtId="0" fontId="9" fillId="0" borderId="9" xfId="0" applyFont="1" applyBorder="1" applyAlignment="1" applyProtection="1">
      <alignment vertical="center" wrapText="1" readingOrder="1"/>
      <protection locked="0"/>
    </xf>
    <xf numFmtId="0" fontId="9" fillId="0" borderId="12" xfId="0" applyFont="1" applyBorder="1" applyAlignment="1" applyProtection="1">
      <alignment vertical="center" wrapText="1" readingOrder="1"/>
      <protection locked="0"/>
    </xf>
    <xf numFmtId="3" fontId="9" fillId="0" borderId="13" xfId="0" applyNumberFormat="1" applyFont="1" applyBorder="1" applyAlignment="1" applyProtection="1">
      <alignment vertical="center" wrapText="1" readingOrder="1"/>
      <protection locked="0"/>
    </xf>
    <xf numFmtId="49" fontId="9" fillId="0" borderId="9" xfId="0" applyNumberFormat="1" applyFont="1" applyBorder="1" applyAlignment="1" applyProtection="1">
      <alignment vertical="center" wrapText="1" readingOrder="1"/>
      <protection locked="0"/>
    </xf>
    <xf numFmtId="3" fontId="9" fillId="0" borderId="10" xfId="0" applyNumberFormat="1" applyFont="1" applyBorder="1" applyAlignment="1" applyProtection="1">
      <alignment vertical="center" wrapText="1" readingOrder="1"/>
      <protection locked="0"/>
    </xf>
    <xf numFmtId="3" fontId="9" fillId="0" borderId="10" xfId="0" applyNumberFormat="1" applyFont="1" applyBorder="1" applyAlignment="1" applyProtection="1">
      <alignment horizontal="center" vertical="center" wrapText="1" readingOrder="1"/>
      <protection locked="0"/>
    </xf>
    <xf numFmtId="3" fontId="8" fillId="14" borderId="38" xfId="0" applyNumberFormat="1" applyFont="1" applyFill="1" applyBorder="1" applyAlignment="1" applyProtection="1">
      <alignment vertical="center" wrapText="1" readingOrder="1"/>
      <protection locked="0"/>
    </xf>
    <xf numFmtId="3" fontId="11" fillId="12" borderId="50" xfId="0" applyNumberFormat="1" applyFont="1" applyFill="1" applyBorder="1" applyAlignment="1" applyProtection="1">
      <alignment vertical="center" wrapText="1" readingOrder="1"/>
      <protection locked="0"/>
    </xf>
    <xf numFmtId="0" fontId="16" fillId="0" borderId="0" xfId="0" applyFont="1" applyAlignment="1" applyProtection="1">
      <alignment horizontal="center" vertical="center" wrapText="1" readingOrder="1"/>
      <protection locked="0"/>
    </xf>
    <xf numFmtId="0" fontId="7" fillId="0" borderId="0" xfId="0" applyFont="1"/>
    <xf numFmtId="165" fontId="12" fillId="0" borderId="0" xfId="0" applyNumberFormat="1" applyFont="1"/>
    <xf numFmtId="0" fontId="12" fillId="8" borderId="0" xfId="0" applyFont="1" applyFill="1"/>
    <xf numFmtId="49" fontId="9" fillId="0" borderId="22" xfId="0" applyNumberFormat="1" applyFont="1" applyBorder="1" applyAlignment="1" applyProtection="1">
      <alignment vertical="center" wrapText="1" readingOrder="1"/>
      <protection locked="0"/>
    </xf>
    <xf numFmtId="3" fontId="9" fillId="0" borderId="6" xfId="0" applyNumberFormat="1" applyFont="1" applyBorder="1" applyAlignment="1" applyProtection="1">
      <alignment vertical="center" wrapText="1" readingOrder="1"/>
      <protection locked="0"/>
    </xf>
    <xf numFmtId="49" fontId="9" fillId="0" borderId="3" xfId="0" applyNumberFormat="1" applyFont="1" applyBorder="1" applyAlignment="1" applyProtection="1">
      <alignment vertical="center" wrapText="1" readingOrder="1"/>
      <protection locked="0"/>
    </xf>
    <xf numFmtId="3" fontId="11" fillId="12" borderId="50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0" xfId="0" applyFont="1" applyBorder="1" applyAlignment="1" applyProtection="1">
      <alignment vertical="center" wrapText="1" readingOrder="1"/>
      <protection locked="0"/>
    </xf>
    <xf numFmtId="3" fontId="3" fillId="12" borderId="25" xfId="0" applyNumberFormat="1" applyFont="1" applyFill="1" applyBorder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right"/>
    </xf>
    <xf numFmtId="0" fontId="18" fillId="2" borderId="1" xfId="0" applyFont="1" applyFill="1" applyBorder="1" applyAlignment="1">
      <alignment horizontal="center" vertical="center" wrapText="1" shrinkToFit="1"/>
    </xf>
    <xf numFmtId="0" fontId="18" fillId="2" borderId="19" xfId="0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left" vertical="center" wrapText="1" shrinkToFit="1"/>
    </xf>
    <xf numFmtId="49" fontId="19" fillId="3" borderId="4" xfId="0" applyNumberFormat="1" applyFont="1" applyFill="1" applyBorder="1" applyAlignment="1">
      <alignment vertical="center" wrapText="1" shrinkToFit="1"/>
    </xf>
    <xf numFmtId="3" fontId="19" fillId="3" borderId="4" xfId="0" applyNumberFormat="1" applyFont="1" applyFill="1" applyBorder="1" applyAlignment="1">
      <alignment vertical="center" wrapText="1" shrinkToFit="1"/>
    </xf>
    <xf numFmtId="3" fontId="19" fillId="3" borderId="4" xfId="0" applyNumberFormat="1" applyFont="1" applyFill="1" applyBorder="1" applyAlignment="1">
      <alignment horizontal="center" vertical="center" wrapText="1" shrinkToFit="1"/>
    </xf>
    <xf numFmtId="3" fontId="19" fillId="3" borderId="16" xfId="0" applyNumberFormat="1" applyFont="1" applyFill="1" applyBorder="1" applyAlignment="1">
      <alignment vertical="center" wrapText="1" shrinkToFit="1"/>
    </xf>
    <xf numFmtId="49" fontId="19" fillId="3" borderId="6" xfId="0" applyNumberFormat="1" applyFont="1" applyFill="1" applyBorder="1" applyAlignment="1">
      <alignment vertical="center" wrapText="1" shrinkToFit="1"/>
    </xf>
    <xf numFmtId="3" fontId="19" fillId="3" borderId="24" xfId="0" applyNumberFormat="1" applyFont="1" applyFill="1" applyBorder="1" applyAlignment="1">
      <alignment vertical="center" wrapText="1" shrinkToFit="1"/>
    </xf>
    <xf numFmtId="49" fontId="20" fillId="3" borderId="2" xfId="0" applyNumberFormat="1" applyFont="1" applyFill="1" applyBorder="1" applyAlignment="1">
      <alignment vertical="center" wrapText="1" shrinkToFit="1"/>
    </xf>
    <xf numFmtId="3" fontId="20" fillId="3" borderId="15" xfId="0" applyNumberFormat="1" applyFont="1" applyFill="1" applyBorder="1" applyAlignment="1">
      <alignment vertical="center" wrapText="1" shrinkToFit="1"/>
    </xf>
    <xf numFmtId="3" fontId="18" fillId="4" borderId="8" xfId="0" applyNumberFormat="1" applyFont="1" applyFill="1" applyBorder="1"/>
    <xf numFmtId="3" fontId="18" fillId="4" borderId="7" xfId="0" applyNumberFormat="1" applyFont="1" applyFill="1" applyBorder="1" applyAlignment="1">
      <alignment horizontal="center"/>
    </xf>
    <xf numFmtId="3" fontId="19" fillId="3" borderId="4" xfId="0" applyNumberFormat="1" applyFont="1" applyFill="1" applyBorder="1" applyAlignment="1">
      <alignment horizontal="right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0" fontId="19" fillId="0" borderId="4" xfId="0" applyFont="1" applyBorder="1" applyAlignment="1">
      <alignment horizontal="left" vertical="center" wrapText="1" shrinkToFit="1"/>
    </xf>
    <xf numFmtId="3" fontId="19" fillId="0" borderId="4" xfId="0" applyNumberFormat="1" applyFont="1" applyBorder="1" applyAlignment="1">
      <alignment horizontal="right" vertical="center" wrapText="1" shrinkToFit="1"/>
    </xf>
    <xf numFmtId="3" fontId="19" fillId="0" borderId="16" xfId="0" applyNumberFormat="1" applyFont="1" applyBorder="1" applyAlignment="1">
      <alignment horizontal="right" vertical="center" wrapText="1" shrinkToFit="1"/>
    </xf>
    <xf numFmtId="3" fontId="19" fillId="3" borderId="16" xfId="0" applyNumberFormat="1" applyFont="1" applyFill="1" applyBorder="1" applyAlignment="1">
      <alignment horizontal="right" vertical="center" wrapText="1" shrinkToFit="1"/>
    </xf>
    <xf numFmtId="0" fontId="18" fillId="0" borderId="0" xfId="0" applyFont="1" applyAlignment="1">
      <alignment horizontal="center"/>
    </xf>
    <xf numFmtId="3" fontId="18" fillId="0" borderId="0" xfId="0" applyNumberFormat="1" applyFont="1"/>
    <xf numFmtId="3" fontId="18" fillId="0" borderId="0" xfId="0" applyNumberFormat="1" applyFont="1" applyAlignment="1">
      <alignment horizontal="center"/>
    </xf>
    <xf numFmtId="3" fontId="18" fillId="4" borderId="8" xfId="0" applyNumberFormat="1" applyFont="1" applyFill="1" applyBorder="1" applyAlignment="1">
      <alignment horizontal="center"/>
    </xf>
    <xf numFmtId="0" fontId="21" fillId="9" borderId="1" xfId="0" applyFont="1" applyFill="1" applyBorder="1" applyAlignment="1">
      <alignment horizontal="center" vertical="center" wrapText="1" shrinkToFit="1"/>
    </xf>
    <xf numFmtId="0" fontId="21" fillId="9" borderId="19" xfId="0" applyFont="1" applyFill="1" applyBorder="1" applyAlignment="1">
      <alignment horizontal="center" vertical="center" wrapText="1" shrinkToFit="1"/>
    </xf>
    <xf numFmtId="49" fontId="22" fillId="3" borderId="3" xfId="0" applyNumberFormat="1" applyFont="1" applyFill="1" applyBorder="1" applyAlignment="1">
      <alignment vertical="center" wrapText="1" shrinkToFit="1"/>
    </xf>
    <xf numFmtId="49" fontId="22" fillId="0" borderId="4" xfId="0" applyNumberFormat="1" applyFont="1" applyBorder="1" applyAlignment="1">
      <alignment horizontal="left" vertical="center" wrapText="1" shrinkToFit="1"/>
    </xf>
    <xf numFmtId="3" fontId="22" fillId="0" borderId="30" xfId="0" applyNumberFormat="1" applyFont="1" applyBorder="1" applyAlignment="1">
      <alignment horizontal="right" vertical="center" wrapText="1" shrinkToFit="1"/>
    </xf>
    <xf numFmtId="3" fontId="22" fillId="0" borderId="16" xfId="0" applyNumberFormat="1" applyFont="1" applyBorder="1" applyAlignment="1">
      <alignment horizontal="right" vertical="center" wrapText="1" shrinkToFit="1"/>
    </xf>
    <xf numFmtId="49" fontId="22" fillId="3" borderId="11" xfId="0" applyNumberFormat="1" applyFont="1" applyFill="1" applyBorder="1" applyAlignment="1">
      <alignment vertical="center" wrapText="1" shrinkToFit="1"/>
    </xf>
    <xf numFmtId="49" fontId="22" fillId="0" borderId="2" xfId="0" applyNumberFormat="1" applyFont="1" applyBorder="1" applyAlignment="1">
      <alignment horizontal="left" vertical="center" wrapText="1" shrinkToFit="1"/>
    </xf>
    <xf numFmtId="3" fontId="22" fillId="0" borderId="15" xfId="0" applyNumberFormat="1" applyFont="1" applyBorder="1" applyAlignment="1">
      <alignment horizontal="right" vertical="center" wrapText="1" shrinkToFit="1"/>
    </xf>
    <xf numFmtId="49" fontId="22" fillId="3" borderId="5" xfId="0" applyNumberFormat="1" applyFont="1" applyFill="1" applyBorder="1" applyAlignment="1">
      <alignment vertical="center" wrapText="1" shrinkToFit="1"/>
    </xf>
    <xf numFmtId="49" fontId="22" fillId="0" borderId="6" xfId="0" applyNumberFormat="1" applyFont="1" applyBorder="1" applyAlignment="1">
      <alignment horizontal="left" vertical="center" wrapText="1" shrinkToFit="1"/>
    </xf>
    <xf numFmtId="3" fontId="22" fillId="0" borderId="45" xfId="0" applyNumberFormat="1" applyFont="1" applyBorder="1" applyAlignment="1">
      <alignment horizontal="right" vertical="center" wrapText="1" shrinkToFit="1"/>
    </xf>
    <xf numFmtId="3" fontId="24" fillId="11" borderId="8" xfId="0" applyNumberFormat="1" applyFont="1" applyFill="1" applyBorder="1" applyAlignment="1">
      <alignment horizontal="right" vertical="center" wrapText="1" shrinkToFit="1"/>
    </xf>
    <xf numFmtId="3" fontId="24" fillId="11" borderId="7" xfId="0" applyNumberFormat="1" applyFont="1" applyFill="1" applyBorder="1" applyAlignment="1">
      <alignment horizontal="center" vertical="center" wrapText="1" shrinkToFit="1"/>
    </xf>
    <xf numFmtId="49" fontId="22" fillId="3" borderId="2" xfId="0" applyNumberFormat="1" applyFont="1" applyFill="1" applyBorder="1" applyAlignment="1">
      <alignment vertical="center" wrapText="1" shrinkToFit="1"/>
    </xf>
    <xf numFmtId="49" fontId="22" fillId="3" borderId="30" xfId="0" applyNumberFormat="1" applyFont="1" applyFill="1" applyBorder="1" applyAlignment="1">
      <alignment horizontal="left" vertical="center" wrapText="1" shrinkToFit="1"/>
    </xf>
    <xf numFmtId="3" fontId="22" fillId="3" borderId="30" xfId="0" applyNumberFormat="1" applyFont="1" applyFill="1" applyBorder="1" applyAlignment="1">
      <alignment horizontal="right" vertical="center" wrapText="1" shrinkToFit="1"/>
    </xf>
    <xf numFmtId="3" fontId="22" fillId="3" borderId="16" xfId="0" applyNumberFormat="1" applyFont="1" applyFill="1" applyBorder="1" applyAlignment="1">
      <alignment horizontal="right" vertical="center" wrapText="1" shrinkToFit="1"/>
    </xf>
    <xf numFmtId="49" fontId="22" fillId="3" borderId="29" xfId="0" applyNumberFormat="1" applyFont="1" applyFill="1" applyBorder="1" applyAlignment="1">
      <alignment horizontal="left" vertical="center" wrapText="1" shrinkToFit="1"/>
    </xf>
    <xf numFmtId="3" fontId="22" fillId="3" borderId="29" xfId="0" applyNumberFormat="1" applyFont="1" applyFill="1" applyBorder="1" applyAlignment="1">
      <alignment horizontal="right" vertical="center" wrapText="1" shrinkToFit="1"/>
    </xf>
    <xf numFmtId="3" fontId="22" fillId="3" borderId="15" xfId="0" applyNumberFormat="1" applyFont="1" applyFill="1" applyBorder="1" applyAlignment="1">
      <alignment horizontal="right" vertical="center" wrapText="1" shrinkToFit="1"/>
    </xf>
    <xf numFmtId="3" fontId="22" fillId="0" borderId="29" xfId="0" applyNumberFormat="1" applyFont="1" applyBorder="1" applyAlignment="1">
      <alignment horizontal="right" vertical="center" wrapText="1" shrinkToFit="1"/>
    </xf>
    <xf numFmtId="49" fontId="22" fillId="0" borderId="29" xfId="0" applyNumberFormat="1" applyFont="1" applyBorder="1" applyAlignment="1">
      <alignment horizontal="left" vertical="center" wrapText="1" shrinkToFit="1"/>
    </xf>
    <xf numFmtId="49" fontId="22" fillId="0" borderId="2" xfId="0" applyNumberFormat="1" applyFont="1" applyBorder="1" applyAlignment="1">
      <alignment vertical="center" wrapText="1" shrinkToFit="1"/>
    </xf>
    <xf numFmtId="49" fontId="22" fillId="0" borderId="11" xfId="0" applyNumberFormat="1" applyFont="1" applyBorder="1" applyAlignment="1">
      <alignment vertical="center" wrapText="1" shrinkToFit="1"/>
    </xf>
    <xf numFmtId="49" fontId="22" fillId="0" borderId="5" xfId="0" applyNumberFormat="1" applyFont="1" applyBorder="1" applyAlignment="1">
      <alignment vertical="center" wrapText="1" shrinkToFit="1"/>
    </xf>
    <xf numFmtId="3" fontId="22" fillId="0" borderId="44" xfId="0" applyNumberFormat="1" applyFont="1" applyBorder="1" applyAlignment="1">
      <alignment horizontal="right" vertical="center" wrapText="1" shrinkToFit="1"/>
    </xf>
    <xf numFmtId="3" fontId="22" fillId="0" borderId="20" xfId="0" applyNumberFormat="1" applyFont="1" applyBorder="1" applyAlignment="1">
      <alignment horizontal="right" vertical="center" wrapText="1" shrinkToFit="1"/>
    </xf>
    <xf numFmtId="3" fontId="24" fillId="11" borderId="8" xfId="0" applyNumberFormat="1" applyFont="1" applyFill="1" applyBorder="1" applyAlignment="1">
      <alignment horizontal="center" vertical="center" wrapText="1" shrinkToFit="1"/>
    </xf>
    <xf numFmtId="3" fontId="21" fillId="10" borderId="7" xfId="0" applyNumberFormat="1" applyFont="1" applyFill="1" applyBorder="1"/>
    <xf numFmtId="3" fontId="21" fillId="10" borderId="7" xfId="0" applyNumberFormat="1" applyFont="1" applyFill="1" applyBorder="1" applyAlignment="1">
      <alignment horizontal="center"/>
    </xf>
    <xf numFmtId="49" fontId="22" fillId="0" borderId="21" xfId="0" applyNumberFormat="1" applyFont="1" applyBorder="1" applyAlignment="1">
      <alignment horizontal="left" vertical="center" wrapText="1" shrinkToFit="1"/>
    </xf>
    <xf numFmtId="49" fontId="22" fillId="0" borderId="12" xfId="0" applyNumberFormat="1" applyFont="1" applyBorder="1" applyAlignment="1">
      <alignment horizontal="left" vertical="center" wrapText="1" shrinkToFit="1"/>
    </xf>
    <xf numFmtId="3" fontId="22" fillId="0" borderId="23" xfId="0" applyNumberFormat="1" applyFont="1" applyBorder="1" applyAlignment="1">
      <alignment horizontal="right" vertical="center" wrapText="1" shrinkToFit="1"/>
    </xf>
    <xf numFmtId="3" fontId="22" fillId="0" borderId="13" xfId="0" applyNumberFormat="1" applyFont="1" applyBorder="1" applyAlignment="1">
      <alignment horizontal="right" vertical="center" wrapText="1" shrinkToFit="1"/>
    </xf>
    <xf numFmtId="49" fontId="22" fillId="0" borderId="18" xfId="0" applyNumberFormat="1" applyFont="1" applyBorder="1" applyAlignment="1">
      <alignment horizontal="left" vertical="center" wrapText="1" shrinkToFit="1"/>
    </xf>
    <xf numFmtId="49" fontId="22" fillId="0" borderId="1" xfId="0" applyNumberFormat="1" applyFont="1" applyBorder="1" applyAlignment="1">
      <alignment horizontal="left" vertical="center" wrapText="1" shrinkToFit="1"/>
    </xf>
    <xf numFmtId="3" fontId="22" fillId="0" borderId="19" xfId="0" applyNumberFormat="1" applyFont="1" applyBorder="1" applyAlignment="1">
      <alignment horizontal="right" vertical="center" wrapText="1" shrinkToFit="1"/>
    </xf>
    <xf numFmtId="0" fontId="22" fillId="0" borderId="0" xfId="0" applyFont="1"/>
    <xf numFmtId="3" fontId="21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right"/>
    </xf>
    <xf numFmtId="0" fontId="22" fillId="0" borderId="10" xfId="0" applyFont="1" applyBorder="1" applyAlignment="1">
      <alignment horizontal="left"/>
    </xf>
    <xf numFmtId="49" fontId="22" fillId="0" borderId="40" xfId="2" applyNumberFormat="1" applyFont="1" applyFill="1" applyBorder="1" applyAlignment="1">
      <alignment horizontal="right" vertical="center"/>
      <protection locked="0"/>
    </xf>
    <xf numFmtId="3" fontId="22" fillId="0" borderId="4" xfId="0" applyNumberFormat="1" applyFont="1" applyBorder="1"/>
    <xf numFmtId="0" fontId="22" fillId="0" borderId="4" xfId="0" applyFont="1" applyBorder="1"/>
    <xf numFmtId="3" fontId="22" fillId="0" borderId="31" xfId="2" applyNumberFormat="1" applyFont="1" applyBorder="1">
      <protection locked="0"/>
    </xf>
    <xf numFmtId="49" fontId="25" fillId="0" borderId="3" xfId="2" applyNumberFormat="1" applyFont="1" applyBorder="1" applyAlignment="1">
      <alignment horizontal="right"/>
      <protection locked="0"/>
    </xf>
    <xf numFmtId="0" fontId="22" fillId="0" borderId="2" xfId="0" applyFont="1" applyBorder="1"/>
    <xf numFmtId="3" fontId="22" fillId="0" borderId="34" xfId="1" applyNumberFormat="1" applyFont="1" applyBorder="1">
      <protection locked="0"/>
    </xf>
    <xf numFmtId="49" fontId="25" fillId="0" borderId="11" xfId="1" applyNumberFormat="1" applyFont="1" applyBorder="1" applyAlignment="1">
      <alignment horizontal="right"/>
      <protection locked="0"/>
    </xf>
    <xf numFmtId="3" fontId="22" fillId="0" borderId="2" xfId="0" applyNumberFormat="1" applyFont="1" applyBorder="1"/>
    <xf numFmtId="3" fontId="21" fillId="0" borderId="8" xfId="1" applyNumberFormat="1" applyFont="1" applyBorder="1" applyAlignment="1">
      <alignment horizontal="right"/>
      <protection locked="0"/>
    </xf>
    <xf numFmtId="49" fontId="24" fillId="0" borderId="14" xfId="1" applyNumberFormat="1" applyFont="1" applyBorder="1" applyAlignment="1">
      <alignment horizontal="center"/>
      <protection locked="0"/>
    </xf>
    <xf numFmtId="3" fontId="21" fillId="0" borderId="7" xfId="0" applyNumberFormat="1" applyFont="1" applyBorder="1"/>
    <xf numFmtId="3" fontId="21" fillId="0" borderId="8" xfId="1" applyNumberFormat="1" applyFont="1" applyBorder="1" applyAlignment="1">
      <alignment horizontal="center"/>
      <protection locked="0"/>
    </xf>
    <xf numFmtId="49" fontId="22" fillId="0" borderId="29" xfId="0" applyNumberFormat="1" applyFont="1" applyBorder="1" applyAlignment="1">
      <alignment vertical="center" wrapText="1" shrinkToFit="1"/>
    </xf>
    <xf numFmtId="3" fontId="9" fillId="0" borderId="17" xfId="0" applyNumberFormat="1" applyFont="1" applyBorder="1" applyAlignment="1" applyProtection="1">
      <alignment vertical="center" wrapText="1" readingOrder="1"/>
      <protection locked="0"/>
    </xf>
    <xf numFmtId="49" fontId="25" fillId="0" borderId="3" xfId="0" applyNumberFormat="1" applyFont="1" applyBorder="1" applyAlignment="1">
      <alignment horizontal="right"/>
    </xf>
    <xf numFmtId="49" fontId="25" fillId="0" borderId="11" xfId="0" applyNumberFormat="1" applyFont="1" applyBorder="1" applyAlignment="1">
      <alignment horizontal="right"/>
    </xf>
    <xf numFmtId="3" fontId="22" fillId="0" borderId="31" xfId="0" applyNumberFormat="1" applyFont="1" applyBorder="1"/>
    <xf numFmtId="3" fontId="21" fillId="0" borderId="38" xfId="0" applyNumberFormat="1" applyFont="1" applyBorder="1"/>
    <xf numFmtId="3" fontId="22" fillId="0" borderId="46" xfId="0" applyNumberFormat="1" applyFont="1" applyBorder="1" applyAlignment="1">
      <alignment horizontal="right"/>
    </xf>
    <xf numFmtId="3" fontId="22" fillId="0" borderId="31" xfId="0" applyNumberFormat="1" applyFont="1" applyBorder="1" applyAlignment="1">
      <alignment horizontal="right"/>
    </xf>
    <xf numFmtId="3" fontId="22" fillId="0" borderId="2" xfId="0" applyNumberFormat="1" applyFont="1" applyBorder="1" applyAlignment="1">
      <alignment horizontal="right"/>
    </xf>
    <xf numFmtId="3" fontId="19" fillId="3" borderId="23" xfId="0" applyNumberFormat="1" applyFont="1" applyFill="1" applyBorder="1" applyAlignment="1">
      <alignment horizontal="right" vertical="center" wrapText="1" shrinkToFit="1"/>
    </xf>
    <xf numFmtId="3" fontId="20" fillId="3" borderId="2" xfId="0" applyNumberFormat="1" applyFont="1" applyFill="1" applyBorder="1" applyAlignment="1">
      <alignment horizontal="right" vertical="center" wrapText="1" shrinkToFit="1"/>
    </xf>
    <xf numFmtId="3" fontId="18" fillId="4" borderId="38" xfId="0" applyNumberFormat="1" applyFont="1" applyFill="1" applyBorder="1" applyAlignment="1">
      <alignment horizontal="right"/>
    </xf>
    <xf numFmtId="3" fontId="24" fillId="11" borderId="38" xfId="0" applyNumberFormat="1" applyFont="1" applyFill="1" applyBorder="1" applyAlignment="1">
      <alignment horizontal="right" vertical="center" wrapText="1" shrinkToFit="1"/>
    </xf>
    <xf numFmtId="3" fontId="21" fillId="10" borderId="7" xfId="0" applyNumberFormat="1" applyFont="1" applyFill="1" applyBorder="1" applyAlignment="1">
      <alignment horizontal="right" wrapText="1" shrinkToFit="1"/>
    </xf>
    <xf numFmtId="0" fontId="8" fillId="12" borderId="51" xfId="0" applyFont="1" applyFill="1" applyBorder="1" applyAlignment="1" applyProtection="1">
      <alignment horizontal="center" vertical="center" wrapText="1" readingOrder="1"/>
      <protection locked="0"/>
    </xf>
    <xf numFmtId="3" fontId="9" fillId="0" borderId="29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" xfId="0" applyNumberFormat="1" applyFont="1" applyBorder="1" applyAlignment="1" applyProtection="1">
      <alignment horizontal="right" vertical="center" wrapText="1" readingOrder="1"/>
      <protection locked="0"/>
    </xf>
    <xf numFmtId="3" fontId="8" fillId="12" borderId="38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0" borderId="4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10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3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6" xfId="0" applyNumberFormat="1" applyFont="1" applyBorder="1" applyAlignment="1" applyProtection="1">
      <alignment horizontal="right" vertical="center" wrapText="1" readingOrder="1"/>
      <protection locked="0"/>
    </xf>
    <xf numFmtId="3" fontId="18" fillId="14" borderId="39" xfId="0" applyNumberFormat="1" applyFont="1" applyFill="1" applyBorder="1" applyAlignment="1">
      <alignment horizontal="right" vertical="center" wrapText="1" readingOrder="1"/>
    </xf>
    <xf numFmtId="3" fontId="18" fillId="14" borderId="27" xfId="0" applyNumberFormat="1" applyFont="1" applyFill="1" applyBorder="1" applyAlignment="1">
      <alignment horizontal="right" vertical="center" wrapText="1" readingOrder="1"/>
    </xf>
    <xf numFmtId="3" fontId="9" fillId="0" borderId="46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34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51" xfId="0" applyNumberFormat="1" applyFont="1" applyBorder="1" applyAlignment="1" applyProtection="1">
      <alignment horizontal="right" vertical="center" wrapText="1" readingOrder="1"/>
      <protection locked="0"/>
    </xf>
    <xf numFmtId="3" fontId="8" fillId="12" borderId="41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0" borderId="42" xfId="0" applyNumberFormat="1" applyFont="1" applyBorder="1" applyAlignment="1" applyProtection="1">
      <alignment horizontal="right" vertical="center" wrapText="1" readingOrder="1"/>
      <protection locked="0"/>
    </xf>
    <xf numFmtId="49" fontId="22" fillId="0" borderId="42" xfId="0" applyNumberFormat="1" applyFont="1" applyBorder="1" applyAlignment="1">
      <alignment horizontal="left" vertical="center" wrapText="1" shrinkToFit="1"/>
    </xf>
    <xf numFmtId="49" fontId="22" fillId="0" borderId="31" xfId="0" applyNumberFormat="1" applyFont="1" applyBorder="1" applyAlignment="1">
      <alignment horizontal="left" vertical="center" wrapText="1" shrinkToFit="1"/>
    </xf>
    <xf numFmtId="49" fontId="22" fillId="0" borderId="34" xfId="0" applyNumberFormat="1" applyFont="1" applyBorder="1" applyAlignment="1">
      <alignment horizontal="left" vertical="center" wrapText="1" shrinkToFit="1"/>
    </xf>
    <xf numFmtId="3" fontId="22" fillId="0" borderId="10" xfId="0" applyNumberFormat="1" applyFont="1" applyBorder="1" applyAlignment="1">
      <alignment horizontal="right" vertical="center" wrapText="1" shrinkToFit="1"/>
    </xf>
    <xf numFmtId="3" fontId="22" fillId="0" borderId="4" xfId="0" applyNumberFormat="1" applyFont="1" applyBorder="1" applyAlignment="1">
      <alignment horizontal="right" vertical="center" wrapText="1" shrinkToFit="1"/>
    </xf>
    <xf numFmtId="3" fontId="23" fillId="0" borderId="1" xfId="0" applyNumberFormat="1" applyFont="1" applyBorder="1" applyAlignment="1" applyProtection="1">
      <alignment horizontal="right" vertical="center" wrapText="1" readingOrder="1"/>
      <protection locked="0"/>
    </xf>
    <xf numFmtId="1" fontId="21" fillId="13" borderId="41" xfId="2" applyNumberFormat="1" applyFont="1" applyFill="1" applyBorder="1" applyAlignment="1">
      <alignment horizontal="center" vertical="center" wrapText="1"/>
      <protection locked="0"/>
    </xf>
    <xf numFmtId="1" fontId="21" fillId="12" borderId="19" xfId="2" applyNumberFormat="1" applyFont="1" applyFill="1" applyBorder="1" applyAlignment="1">
      <alignment horizontal="center" vertical="center" wrapText="1"/>
      <protection locked="0"/>
    </xf>
    <xf numFmtId="3" fontId="22" fillId="0" borderId="47" xfId="0" applyNumberFormat="1" applyFont="1" applyBorder="1" applyAlignment="1">
      <alignment horizontal="right" vertical="center" wrapText="1" shrinkToFit="1"/>
    </xf>
    <xf numFmtId="3" fontId="12" fillId="0" borderId="0" xfId="0" applyNumberFormat="1" applyFont="1"/>
    <xf numFmtId="3" fontId="9" fillId="0" borderId="47" xfId="0" applyNumberFormat="1" applyFont="1" applyBorder="1" applyAlignment="1" applyProtection="1">
      <alignment vertical="center" wrapText="1" readingOrder="1"/>
      <protection locked="0"/>
    </xf>
    <xf numFmtId="4" fontId="9" fillId="0" borderId="47" xfId="0" applyNumberFormat="1" applyFont="1" applyBorder="1" applyAlignment="1" applyProtection="1">
      <alignment horizontal="center" vertical="center" wrapText="1" readingOrder="1"/>
      <protection locked="0"/>
    </xf>
    <xf numFmtId="3" fontId="9" fillId="0" borderId="34" xfId="0" applyNumberFormat="1" applyFont="1" applyBorder="1" applyAlignment="1" applyProtection="1">
      <alignment vertical="center" wrapText="1" readingOrder="1"/>
      <protection locked="0"/>
    </xf>
    <xf numFmtId="4" fontId="9" fillId="0" borderId="34" xfId="0" applyNumberFormat="1" applyFont="1" applyBorder="1" applyAlignment="1" applyProtection="1">
      <alignment horizontal="center" vertical="center" wrapText="1" readingOrder="1"/>
      <protection locked="0"/>
    </xf>
    <xf numFmtId="3" fontId="9" fillId="0" borderId="24" xfId="0" applyNumberFormat="1" applyFont="1" applyBorder="1" applyAlignment="1" applyProtection="1">
      <alignment vertical="center" wrapText="1" readingOrder="1"/>
      <protection locked="0"/>
    </xf>
    <xf numFmtId="0" fontId="0" fillId="0" borderId="0" xfId="0" applyAlignment="1">
      <alignment horizontal="left"/>
    </xf>
    <xf numFmtId="3" fontId="9" fillId="0" borderId="31" xfId="0" applyNumberFormat="1" applyFont="1" applyBorder="1" applyAlignment="1" applyProtection="1">
      <alignment horizontal="right" vertical="center" wrapText="1" readingOrder="1"/>
      <protection locked="0"/>
    </xf>
    <xf numFmtId="0" fontId="9" fillId="16" borderId="3" xfId="0" applyFont="1" applyFill="1" applyBorder="1" applyAlignment="1" applyProtection="1">
      <alignment vertical="center" wrapText="1" readingOrder="1"/>
      <protection locked="0"/>
    </xf>
    <xf numFmtId="3" fontId="9" fillId="16" borderId="30" xfId="0" applyNumberFormat="1" applyFont="1" applyFill="1" applyBorder="1" applyAlignment="1" applyProtection="1">
      <alignment vertical="center" wrapText="1" readingOrder="1"/>
      <protection locked="0"/>
    </xf>
    <xf numFmtId="3" fontId="9" fillId="16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26" fillId="16" borderId="16" xfId="0" applyNumberFormat="1" applyFont="1" applyFill="1" applyBorder="1" applyAlignment="1" applyProtection="1">
      <alignment vertical="center" wrapText="1" readingOrder="1"/>
      <protection locked="0"/>
    </xf>
    <xf numFmtId="49" fontId="9" fillId="16" borderId="11" xfId="0" applyNumberFormat="1" applyFont="1" applyFill="1" applyBorder="1" applyAlignment="1" applyProtection="1">
      <alignment vertical="center" wrapText="1" readingOrder="1"/>
      <protection locked="0"/>
    </xf>
    <xf numFmtId="3" fontId="26" fillId="16" borderId="15" xfId="0" applyNumberFormat="1" applyFont="1" applyFill="1" applyBorder="1" applyAlignment="1" applyProtection="1">
      <alignment vertical="center" wrapText="1" readingOrder="1"/>
      <protection locked="0"/>
    </xf>
    <xf numFmtId="0" fontId="9" fillId="16" borderId="11" xfId="0" applyFont="1" applyFill="1" applyBorder="1" applyAlignment="1" applyProtection="1">
      <alignment vertical="center" wrapText="1" readingOrder="1"/>
      <protection locked="0"/>
    </xf>
    <xf numFmtId="49" fontId="9" fillId="16" borderId="5" xfId="0" applyNumberFormat="1" applyFont="1" applyFill="1" applyBorder="1" applyAlignment="1" applyProtection="1">
      <alignment vertical="center" wrapText="1" readingOrder="1"/>
      <protection locked="0"/>
    </xf>
    <xf numFmtId="3" fontId="9" fillId="16" borderId="2" xfId="0" applyNumberFormat="1" applyFont="1" applyFill="1" applyBorder="1" applyAlignment="1" applyProtection="1">
      <alignment vertical="center" wrapText="1" readingOrder="1"/>
      <protection locked="0"/>
    </xf>
    <xf numFmtId="3" fontId="26" fillId="16" borderId="20" xfId="0" applyNumberFormat="1" applyFont="1" applyFill="1" applyBorder="1" applyAlignment="1" applyProtection="1">
      <alignment vertical="center" wrapText="1" readingOrder="1"/>
      <protection locked="0"/>
    </xf>
    <xf numFmtId="3" fontId="9" fillId="16" borderId="45" xfId="0" applyNumberFormat="1" applyFont="1" applyFill="1" applyBorder="1" applyAlignment="1" applyProtection="1">
      <alignment vertical="center" wrapText="1" readingOrder="1"/>
      <protection locked="0"/>
    </xf>
    <xf numFmtId="3" fontId="9" fillId="16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16" borderId="9" xfId="0" applyFont="1" applyFill="1" applyBorder="1" applyAlignment="1" applyProtection="1">
      <alignment vertical="center" wrapText="1" readingOrder="1"/>
      <protection locked="0"/>
    </xf>
    <xf numFmtId="3" fontId="9" fillId="16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9" fillId="16" borderId="9" xfId="0" applyNumberFormat="1" applyFont="1" applyFill="1" applyBorder="1" applyAlignment="1" applyProtection="1">
      <alignment horizontal="left" vertical="center" wrapText="1" readingOrder="1"/>
      <protection locked="0"/>
    </xf>
    <xf numFmtId="0" fontId="9" fillId="16" borderId="12" xfId="0" applyFont="1" applyFill="1" applyBorder="1" applyAlignment="1" applyProtection="1">
      <alignment horizontal="left" vertical="center" wrapText="1" readingOrder="1"/>
      <protection locked="0"/>
    </xf>
    <xf numFmtId="3" fontId="9" fillId="16" borderId="10" xfId="0" applyNumberFormat="1" applyFont="1" applyFill="1" applyBorder="1" applyAlignment="1" applyProtection="1">
      <alignment horizontal="left" vertical="center" wrapText="1" readingOrder="1"/>
      <protection locked="0"/>
    </xf>
    <xf numFmtId="3" fontId="26" fillId="16" borderId="13" xfId="0" applyNumberFormat="1" applyFont="1" applyFill="1" applyBorder="1" applyAlignment="1" applyProtection="1">
      <alignment horizontal="right" vertical="center" wrapText="1" readingOrder="1"/>
      <protection locked="0"/>
    </xf>
    <xf numFmtId="0" fontId="9" fillId="16" borderId="31" xfId="0" applyFont="1" applyFill="1" applyBorder="1" applyAlignment="1" applyProtection="1">
      <alignment vertical="center" wrapText="1" readingOrder="1"/>
      <protection locked="0"/>
    </xf>
    <xf numFmtId="3" fontId="9" fillId="16" borderId="46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16" borderId="10" xfId="0" applyNumberFormat="1" applyFont="1" applyFill="1" applyBorder="1" applyAlignment="1" applyProtection="1">
      <alignment vertical="center" wrapText="1" readingOrder="1"/>
      <protection locked="0"/>
    </xf>
    <xf numFmtId="0" fontId="9" fillId="16" borderId="5" xfId="0" applyFont="1" applyFill="1" applyBorder="1" applyAlignment="1" applyProtection="1">
      <alignment vertical="center" wrapText="1" readingOrder="1"/>
      <protection locked="0"/>
    </xf>
    <xf numFmtId="0" fontId="9" fillId="16" borderId="42" xfId="0" applyFont="1" applyFill="1" applyBorder="1" applyAlignment="1" applyProtection="1">
      <alignment vertical="center" wrapText="1" readingOrder="1"/>
      <protection locked="0"/>
    </xf>
    <xf numFmtId="3" fontId="9" fillId="16" borderId="51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16" borderId="1" xfId="0" applyNumberFormat="1" applyFont="1" applyFill="1" applyBorder="1" applyAlignment="1" applyProtection="1">
      <alignment vertical="center" wrapText="1" readingOrder="1"/>
      <protection locked="0"/>
    </xf>
    <xf numFmtId="0" fontId="8" fillId="16" borderId="11" xfId="0" applyFont="1" applyFill="1" applyBorder="1" applyAlignment="1" applyProtection="1">
      <alignment vertical="center" wrapText="1" readingOrder="1"/>
      <protection locked="0"/>
    </xf>
    <xf numFmtId="49" fontId="8" fillId="16" borderId="11" xfId="0" applyNumberFormat="1" applyFont="1" applyFill="1" applyBorder="1" applyAlignment="1" applyProtection="1">
      <alignment vertical="center" wrapText="1" readingOrder="1"/>
      <protection locked="0"/>
    </xf>
    <xf numFmtId="3" fontId="8" fillId="16" borderId="2" xfId="0" applyNumberFormat="1" applyFont="1" applyFill="1" applyBorder="1" applyAlignment="1" applyProtection="1">
      <alignment vertical="center" wrapText="1" readingOrder="1"/>
      <protection locked="0"/>
    </xf>
    <xf numFmtId="3" fontId="8" fillId="16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16" borderId="4" xfId="0" applyFont="1" applyFill="1" applyBorder="1" applyAlignment="1" applyProtection="1">
      <alignment vertical="center" wrapText="1" readingOrder="1"/>
      <protection locked="0"/>
    </xf>
    <xf numFmtId="3" fontId="8" fillId="16" borderId="2" xfId="0" applyNumberFormat="1" applyFont="1" applyFill="1" applyBorder="1" applyAlignment="1" applyProtection="1">
      <alignment horizontal="right" vertical="center" wrapText="1" readingOrder="1"/>
      <protection locked="0"/>
    </xf>
    <xf numFmtId="3" fontId="18" fillId="14" borderId="14" xfId="0" applyNumberFormat="1" applyFont="1" applyFill="1" applyBorder="1" applyAlignment="1">
      <alignment horizontal="right" vertical="center" wrapText="1" readingOrder="1"/>
    </xf>
    <xf numFmtId="3" fontId="22" fillId="0" borderId="10" xfId="0" applyNumberFormat="1" applyFont="1" applyBorder="1"/>
    <xf numFmtId="9" fontId="0" fillId="0" borderId="0" xfId="0" applyNumberFormat="1"/>
    <xf numFmtId="3" fontId="3" fillId="0" borderId="0" xfId="0" applyNumberFormat="1" applyFont="1"/>
    <xf numFmtId="3" fontId="22" fillId="0" borderId="56" xfId="1" applyNumberFormat="1" applyFont="1" applyBorder="1" applyAlignment="1">
      <alignment horizontal="right"/>
      <protection locked="0"/>
    </xf>
    <xf numFmtId="3" fontId="22" fillId="0" borderId="57" xfId="1" applyNumberFormat="1" applyFont="1" applyBorder="1" applyAlignment="1">
      <alignment horizontal="right"/>
      <protection locked="0"/>
    </xf>
    <xf numFmtId="0" fontId="10" fillId="0" borderId="0" xfId="0" applyFont="1"/>
    <xf numFmtId="3" fontId="9" fillId="0" borderId="31" xfId="0" applyNumberFormat="1" applyFont="1" applyBorder="1" applyAlignment="1" applyProtection="1">
      <alignment vertical="center" wrapText="1" readingOrder="1"/>
      <protection locked="0"/>
    </xf>
    <xf numFmtId="9" fontId="9" fillId="0" borderId="29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53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9" xfId="0" applyNumberFormat="1" applyFont="1" applyBorder="1" applyAlignment="1" applyProtection="1">
      <alignment vertical="center" wrapText="1" readingOrder="1"/>
      <protection locked="0"/>
    </xf>
    <xf numFmtId="0" fontId="8" fillId="16" borderId="21" xfId="0" applyFont="1" applyFill="1" applyBorder="1" applyAlignment="1" applyProtection="1">
      <alignment vertical="center" wrapText="1" readingOrder="1"/>
      <protection locked="0"/>
    </xf>
    <xf numFmtId="3" fontId="9" fillId="16" borderId="6" xfId="0" applyNumberFormat="1" applyFont="1" applyFill="1" applyBorder="1" applyAlignment="1" applyProtection="1">
      <alignment vertical="center" wrapText="1" readingOrder="1"/>
      <protection locked="0"/>
    </xf>
    <xf numFmtId="3" fontId="9" fillId="16" borderId="6" xfId="0" applyNumberFormat="1" applyFont="1" applyFill="1" applyBorder="1" applyAlignment="1" applyProtection="1">
      <alignment horizontal="center" vertical="center" wrapText="1" readingOrder="1"/>
      <protection locked="0"/>
    </xf>
    <xf numFmtId="3" fontId="9" fillId="0" borderId="52" xfId="0" applyNumberFormat="1" applyFont="1" applyBorder="1" applyAlignment="1" applyProtection="1">
      <alignment horizontal="right" vertical="center" wrapText="1" readingOrder="1"/>
      <protection locked="0"/>
    </xf>
    <xf numFmtId="9" fontId="9" fillId="0" borderId="52" xfId="0" applyNumberFormat="1" applyFont="1" applyBorder="1" applyAlignment="1" applyProtection="1">
      <alignment horizontal="right" vertical="center" wrapText="1" readingOrder="1"/>
      <protection locked="0"/>
    </xf>
    <xf numFmtId="0" fontId="8" fillId="16" borderId="18" xfId="0" applyFont="1" applyFill="1" applyBorder="1" applyAlignment="1" applyProtection="1">
      <alignment vertical="center" wrapText="1" readingOrder="1"/>
      <protection locked="0"/>
    </xf>
    <xf numFmtId="3" fontId="8" fillId="16" borderId="1" xfId="0" applyNumberFormat="1" applyFont="1" applyFill="1" applyBorder="1" applyAlignment="1" applyProtection="1">
      <alignment vertical="center" wrapText="1" readingOrder="1"/>
      <protection locked="0"/>
    </xf>
    <xf numFmtId="3" fontId="8" fillId="16" borderId="1" xfId="0" applyNumberFormat="1" applyFont="1" applyFill="1" applyBorder="1" applyAlignment="1" applyProtection="1">
      <alignment horizontal="center" vertical="center" wrapText="1" readingOrder="1"/>
      <protection locked="0"/>
    </xf>
    <xf numFmtId="3" fontId="26" fillId="16" borderId="19" xfId="0" applyNumberFormat="1" applyFont="1" applyFill="1" applyBorder="1" applyAlignment="1" applyProtection="1">
      <alignment vertical="center" wrapText="1" readingOrder="1"/>
      <protection locked="0"/>
    </xf>
    <xf numFmtId="9" fontId="9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9" fillId="0" borderId="53" xfId="0" applyFont="1" applyBorder="1" applyAlignment="1" applyProtection="1">
      <alignment vertical="center" wrapText="1" readingOrder="1"/>
      <protection locked="0"/>
    </xf>
    <xf numFmtId="3" fontId="18" fillId="14" borderId="8" xfId="0" applyNumberFormat="1" applyFont="1" applyFill="1" applyBorder="1" applyAlignment="1" applyProtection="1">
      <alignment vertical="center" wrapText="1" readingOrder="1"/>
      <protection locked="0"/>
    </xf>
    <xf numFmtId="3" fontId="21" fillId="16" borderId="15" xfId="0" applyNumberFormat="1" applyFont="1" applyFill="1" applyBorder="1" applyAlignment="1" applyProtection="1">
      <alignment vertical="center" wrapText="1" readingOrder="1"/>
      <protection locked="0"/>
    </xf>
    <xf numFmtId="0" fontId="0" fillId="0" borderId="2" xfId="0" applyBorder="1"/>
    <xf numFmtId="3" fontId="22" fillId="0" borderId="46" xfId="2" applyNumberFormat="1" applyFont="1" applyFill="1" applyBorder="1" applyAlignment="1">
      <alignment horizontal="right" vertical="center"/>
      <protection locked="0"/>
    </xf>
    <xf numFmtId="3" fontId="22" fillId="0" borderId="46" xfId="0" applyNumberFormat="1" applyFont="1" applyBorder="1"/>
    <xf numFmtId="0" fontId="0" fillId="0" borderId="11" xfId="0" applyBorder="1"/>
    <xf numFmtId="0" fontId="0" fillId="0" borderId="15" xfId="0" applyBorder="1"/>
    <xf numFmtId="49" fontId="25" fillId="0" borderId="48" xfId="1" applyNumberFormat="1" applyFont="1" applyBorder="1" applyAlignment="1">
      <alignment horizontal="right"/>
      <protection locked="0"/>
    </xf>
    <xf numFmtId="3" fontId="22" fillId="0" borderId="49" xfId="0" applyNumberFormat="1" applyFont="1" applyBorder="1"/>
    <xf numFmtId="3" fontId="22" fillId="0" borderId="41" xfId="0" applyNumberFormat="1" applyFont="1" applyBorder="1"/>
    <xf numFmtId="3" fontId="22" fillId="0" borderId="62" xfId="1" applyNumberFormat="1" applyFont="1" applyBorder="1" applyAlignment="1">
      <alignment horizontal="right"/>
      <protection locked="0"/>
    </xf>
    <xf numFmtId="3" fontId="22" fillId="0" borderId="17" xfId="0" applyNumberFormat="1" applyFont="1" applyBorder="1"/>
    <xf numFmtId="49" fontId="25" fillId="0" borderId="63" xfId="1" applyNumberFormat="1" applyFont="1" applyBorder="1" applyAlignment="1">
      <alignment horizontal="right"/>
      <protection locked="0"/>
    </xf>
    <xf numFmtId="3" fontId="21" fillId="13" borderId="63" xfId="0" applyNumberFormat="1" applyFont="1" applyFill="1" applyBorder="1" applyAlignment="1">
      <alignment horizontal="right"/>
    </xf>
    <xf numFmtId="3" fontId="21" fillId="13" borderId="41" xfId="1" applyNumberFormat="1" applyFont="1" applyFill="1" applyBorder="1" applyAlignment="1">
      <alignment horizontal="center"/>
      <protection locked="0"/>
    </xf>
    <xf numFmtId="3" fontId="21" fillId="13" borderId="41" xfId="1" applyNumberFormat="1" applyFont="1" applyFill="1" applyBorder="1">
      <protection locked="0"/>
    </xf>
    <xf numFmtId="49" fontId="25" fillId="0" borderId="52" xfId="1" applyNumberFormat="1" applyFont="1" applyBorder="1" applyAlignment="1">
      <alignment horizontal="right"/>
      <protection locked="0"/>
    </xf>
    <xf numFmtId="49" fontId="24" fillId="0" borderId="21" xfId="0" applyNumberFormat="1" applyFont="1" applyBorder="1" applyAlignment="1">
      <alignment horizontal="right"/>
    </xf>
    <xf numFmtId="0" fontId="21" fillId="0" borderId="12" xfId="0" applyFont="1" applyBorder="1"/>
    <xf numFmtId="3" fontId="21" fillId="0" borderId="12" xfId="0" applyNumberFormat="1" applyFont="1" applyBorder="1" applyAlignment="1">
      <alignment horizontal="right"/>
    </xf>
    <xf numFmtId="3" fontId="21" fillId="0" borderId="13" xfId="1" applyNumberFormat="1" applyFont="1" applyBorder="1" applyAlignment="1">
      <alignment horizontal="right"/>
      <protection locked="0"/>
    </xf>
    <xf numFmtId="49" fontId="25" fillId="0" borderId="21" xfId="0" applyNumberFormat="1" applyFont="1" applyBorder="1" applyAlignment="1">
      <alignment horizontal="right"/>
    </xf>
    <xf numFmtId="0" fontId="22" fillId="0" borderId="12" xfId="0" applyFont="1" applyBorder="1"/>
    <xf numFmtId="3" fontId="22" fillId="0" borderId="12" xfId="0" applyNumberFormat="1" applyFont="1" applyBorder="1" applyAlignment="1">
      <alignment horizontal="right"/>
    </xf>
    <xf numFmtId="3" fontId="22" fillId="0" borderId="13" xfId="1" applyNumberFormat="1" applyFont="1" applyBorder="1">
      <protection locked="0"/>
    </xf>
    <xf numFmtId="0" fontId="0" fillId="0" borderId="18" xfId="0" applyBorder="1"/>
    <xf numFmtId="0" fontId="0" fillId="0" borderId="1" xfId="0" applyBorder="1"/>
    <xf numFmtId="0" fontId="0" fillId="0" borderId="19" xfId="0" applyBorder="1"/>
    <xf numFmtId="3" fontId="22" fillId="0" borderId="10" xfId="0" applyNumberFormat="1" applyFont="1" applyBorder="1" applyAlignment="1">
      <alignment horizontal="center"/>
    </xf>
    <xf numFmtId="3" fontId="22" fillId="0" borderId="1" xfId="1" applyNumberFormat="1" applyFont="1" applyBorder="1" applyAlignment="1">
      <alignment horizontal="center"/>
      <protection locked="0"/>
    </xf>
    <xf numFmtId="1" fontId="21" fillId="12" borderId="51" xfId="2" applyNumberFormat="1" applyFont="1" applyFill="1" applyBorder="1" applyAlignment="1">
      <alignment horizontal="center" vertical="center" wrapText="1"/>
      <protection locked="0"/>
    </xf>
    <xf numFmtId="1" fontId="21" fillId="12" borderId="1" xfId="2" applyNumberFormat="1" applyFont="1" applyFill="1" applyBorder="1" applyAlignment="1">
      <alignment horizontal="center" vertical="center" wrapText="1"/>
      <protection locked="0"/>
    </xf>
    <xf numFmtId="1" fontId="21" fillId="12" borderId="55" xfId="2" applyNumberFormat="1" applyFont="1" applyFill="1" applyBorder="1" applyAlignment="1">
      <alignment horizontal="center" vertical="center" wrapText="1"/>
      <protection locked="0"/>
    </xf>
    <xf numFmtId="3" fontId="22" fillId="0" borderId="2" xfId="2" applyNumberFormat="1" applyFont="1" applyFill="1" applyBorder="1" applyAlignment="1">
      <alignment horizontal="center"/>
      <protection locked="0"/>
    </xf>
    <xf numFmtId="3" fontId="22" fillId="0" borderId="10" xfId="2" applyNumberFormat="1" applyFont="1" applyFill="1" applyBorder="1" applyAlignment="1">
      <alignment horizontal="center"/>
      <protection locked="0"/>
    </xf>
    <xf numFmtId="3" fontId="22" fillId="0" borderId="59" xfId="2" applyNumberFormat="1" applyFont="1" applyFill="1" applyBorder="1" applyAlignment="1">
      <alignment horizontal="center"/>
      <protection locked="0"/>
    </xf>
    <xf numFmtId="3" fontId="9" fillId="0" borderId="49" xfId="0" applyNumberFormat="1" applyFont="1" applyBorder="1" applyAlignment="1" applyProtection="1">
      <alignment vertical="center" wrapText="1" readingOrder="1"/>
      <protection locked="0"/>
    </xf>
    <xf numFmtId="3" fontId="3" fillId="12" borderId="8" xfId="0" applyNumberFormat="1" applyFont="1" applyFill="1" applyBorder="1"/>
    <xf numFmtId="3" fontId="11" fillId="12" borderId="41" xfId="0" applyNumberFormat="1" applyFont="1" applyFill="1" applyBorder="1" applyAlignment="1" applyProtection="1">
      <alignment horizontal="center" vertical="center" wrapText="1" readingOrder="1"/>
      <protection locked="0"/>
    </xf>
    <xf numFmtId="3" fontId="3" fillId="12" borderId="38" xfId="0" applyNumberFormat="1" applyFont="1" applyFill="1" applyBorder="1" applyAlignment="1">
      <alignment horizontal="center"/>
    </xf>
    <xf numFmtId="3" fontId="3" fillId="12" borderId="7" xfId="0" applyNumberFormat="1" applyFont="1" applyFill="1" applyBorder="1"/>
    <xf numFmtId="3" fontId="21" fillId="12" borderId="7" xfId="0" applyNumberFormat="1" applyFont="1" applyFill="1" applyBorder="1"/>
    <xf numFmtId="3" fontId="9" fillId="0" borderId="0" xfId="0" applyNumberFormat="1" applyFont="1" applyAlignment="1" applyProtection="1">
      <alignment vertical="center" wrapText="1" readingOrder="1"/>
      <protection locked="0"/>
    </xf>
    <xf numFmtId="49" fontId="9" fillId="0" borderId="34" xfId="0" applyNumberFormat="1" applyFont="1" applyBorder="1" applyAlignment="1" applyProtection="1">
      <alignment vertical="center" wrapText="1" readingOrder="1"/>
      <protection locked="0"/>
    </xf>
    <xf numFmtId="49" fontId="9" fillId="0" borderId="18" xfId="0" applyNumberFormat="1" applyFont="1" applyBorder="1" applyAlignment="1" applyProtection="1">
      <alignment vertical="center" wrapText="1" readingOrder="1"/>
      <protection locked="0"/>
    </xf>
    <xf numFmtId="49" fontId="9" fillId="0" borderId="1" xfId="0" applyNumberFormat="1" applyFont="1" applyBorder="1" applyAlignment="1" applyProtection="1">
      <alignment vertical="center" wrapText="1" readingOrder="1"/>
      <protection locked="0"/>
    </xf>
    <xf numFmtId="3" fontId="9" fillId="0" borderId="1" xfId="0" applyNumberFormat="1" applyFont="1" applyBorder="1" applyAlignment="1" applyProtection="1">
      <alignment horizontal="right" vertical="center" wrapText="1" readingOrder="1"/>
      <protection locked="0"/>
    </xf>
    <xf numFmtId="49" fontId="22" fillId="3" borderId="22" xfId="0" applyNumberFormat="1" applyFont="1" applyFill="1" applyBorder="1" applyAlignment="1">
      <alignment vertical="center" wrapText="1" shrinkToFit="1"/>
    </xf>
    <xf numFmtId="49" fontId="23" fillId="0" borderId="47" xfId="0" applyNumberFormat="1" applyFont="1" applyBorder="1" applyAlignment="1" applyProtection="1">
      <alignment vertical="center" wrapText="1" readingOrder="1"/>
      <protection locked="0"/>
    </xf>
    <xf numFmtId="49" fontId="23" fillId="0" borderId="34" xfId="0" applyNumberFormat="1" applyFont="1" applyBorder="1" applyAlignment="1" applyProtection="1">
      <alignment vertical="center" wrapText="1" readingOrder="1"/>
      <protection locked="0"/>
    </xf>
    <xf numFmtId="3" fontId="23" fillId="0" borderId="2" xfId="0" applyNumberFormat="1" applyFont="1" applyBorder="1" applyAlignment="1" applyProtection="1">
      <alignment horizontal="right" vertical="center" wrapText="1" readingOrder="1"/>
      <protection locked="0"/>
    </xf>
    <xf numFmtId="49" fontId="9" fillId="16" borderId="3" xfId="0" applyNumberFormat="1" applyFont="1" applyFill="1" applyBorder="1" applyAlignment="1" applyProtection="1">
      <alignment vertical="center" wrapText="1" readingOrder="1"/>
      <protection locked="0"/>
    </xf>
    <xf numFmtId="0" fontId="19" fillId="0" borderId="22" xfId="0" applyFont="1" applyBorder="1" applyAlignment="1">
      <alignment horizontal="left" vertical="center" wrapText="1" shrinkToFit="1"/>
    </xf>
    <xf numFmtId="49" fontId="20" fillId="3" borderId="23" xfId="0" applyNumberFormat="1" applyFont="1" applyFill="1" applyBorder="1" applyAlignment="1">
      <alignment vertical="center" wrapText="1" shrinkToFit="1"/>
    </xf>
    <xf numFmtId="3" fontId="20" fillId="3" borderId="47" xfId="0" applyNumberFormat="1" applyFont="1" applyFill="1" applyBorder="1" applyAlignment="1">
      <alignment horizontal="right" vertical="center" wrapText="1" shrinkToFit="1"/>
    </xf>
    <xf numFmtId="3" fontId="20" fillId="3" borderId="24" xfId="0" applyNumberFormat="1" applyFont="1" applyFill="1" applyBorder="1" applyAlignment="1">
      <alignment vertical="center" wrapText="1" shrinkToFit="1"/>
    </xf>
    <xf numFmtId="3" fontId="19" fillId="3" borderId="2" xfId="0" applyNumberFormat="1" applyFont="1" applyFill="1" applyBorder="1" applyAlignment="1">
      <alignment vertical="center" wrapText="1" shrinkToFit="1"/>
    </xf>
    <xf numFmtId="3" fontId="19" fillId="3" borderId="2" xfId="0" applyNumberFormat="1" applyFont="1" applyFill="1" applyBorder="1" applyAlignment="1">
      <alignment horizontal="center" vertical="center" wrapText="1" shrinkToFit="1"/>
    </xf>
    <xf numFmtId="3" fontId="19" fillId="0" borderId="2" xfId="0" applyNumberFormat="1" applyFont="1" applyBorder="1" applyAlignment="1">
      <alignment horizontal="right" vertical="center" wrapText="1" shrinkToFit="1"/>
    </xf>
    <xf numFmtId="3" fontId="20" fillId="3" borderId="33" xfId="0" applyNumberFormat="1" applyFont="1" applyFill="1" applyBorder="1" applyAlignment="1">
      <alignment vertical="center" wrapText="1" shrinkToFit="1"/>
    </xf>
    <xf numFmtId="3" fontId="20" fillId="3" borderId="1" xfId="0" applyNumberFormat="1" applyFont="1" applyFill="1" applyBorder="1" applyAlignment="1">
      <alignment vertical="center" wrapText="1" shrinkToFit="1"/>
    </xf>
    <xf numFmtId="49" fontId="25" fillId="0" borderId="22" xfId="0" applyNumberFormat="1" applyFont="1" applyBorder="1" applyAlignment="1">
      <alignment horizontal="right"/>
    </xf>
    <xf numFmtId="0" fontId="22" fillId="0" borderId="23" xfId="0" applyFont="1" applyBorder="1"/>
    <xf numFmtId="3" fontId="22" fillId="0" borderId="41" xfId="1" applyNumberFormat="1" applyFont="1" applyBorder="1" applyAlignment="1">
      <alignment horizontal="right"/>
      <protection locked="0"/>
    </xf>
    <xf numFmtId="49" fontId="25" fillId="0" borderId="9" xfId="0" applyNumberFormat="1" applyFont="1" applyBorder="1" applyAlignment="1">
      <alignment horizontal="right"/>
    </xf>
    <xf numFmtId="3" fontId="22" fillId="0" borderId="10" xfId="1" applyNumberFormat="1" applyFont="1" applyBorder="1" applyAlignment="1">
      <alignment horizontal="right" vertical="center"/>
      <protection locked="0"/>
    </xf>
    <xf numFmtId="3" fontId="22" fillId="0" borderId="34" xfId="0" applyNumberFormat="1" applyFont="1" applyBorder="1"/>
    <xf numFmtId="3" fontId="22" fillId="0" borderId="2" xfId="1" applyNumberFormat="1" applyFont="1" applyBorder="1" applyAlignment="1">
      <alignment horizontal="right"/>
      <protection locked="0"/>
    </xf>
    <xf numFmtId="3" fontId="23" fillId="0" borderId="29" xfId="0" applyNumberFormat="1" applyFont="1" applyBorder="1" applyAlignment="1" applyProtection="1">
      <alignment horizontal="right" vertical="center" wrapText="1" readingOrder="1"/>
      <protection locked="0"/>
    </xf>
    <xf numFmtId="3" fontId="23" fillId="0" borderId="44" xfId="0" applyNumberFormat="1" applyFont="1" applyBorder="1" applyAlignment="1" applyProtection="1">
      <alignment horizontal="right" vertical="center" wrapText="1" readingOrder="1"/>
      <protection locked="0"/>
    </xf>
    <xf numFmtId="3" fontId="22" fillId="3" borderId="45" xfId="0" applyNumberFormat="1" applyFont="1" applyFill="1" applyBorder="1" applyAlignment="1">
      <alignment horizontal="right" vertical="center" wrapText="1" shrinkToFit="1"/>
    </xf>
    <xf numFmtId="3" fontId="22" fillId="3" borderId="44" xfId="0" applyNumberFormat="1" applyFont="1" applyFill="1" applyBorder="1" applyAlignment="1">
      <alignment horizontal="right" vertical="center" wrapText="1" shrinkToFit="1"/>
    </xf>
    <xf numFmtId="3" fontId="20" fillId="3" borderId="4" xfId="0" applyNumberFormat="1" applyFont="1" applyFill="1" applyBorder="1" applyAlignment="1">
      <alignment horizontal="right" vertical="center" wrapText="1" shrinkToFit="1"/>
    </xf>
    <xf numFmtId="3" fontId="19" fillId="3" borderId="2" xfId="0" applyNumberFormat="1" applyFont="1" applyFill="1" applyBorder="1" applyAlignment="1">
      <alignment horizontal="right" vertical="center" wrapText="1" shrinkToFit="1"/>
    </xf>
    <xf numFmtId="3" fontId="11" fillId="12" borderId="28" xfId="0" applyNumberFormat="1" applyFont="1" applyFill="1" applyBorder="1" applyAlignment="1" applyProtection="1">
      <alignment vertical="center" wrapText="1" readingOrder="1"/>
      <protection locked="0"/>
    </xf>
    <xf numFmtId="3" fontId="11" fillId="12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9" fillId="0" borderId="47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41" xfId="0" applyNumberFormat="1" applyFont="1" applyBorder="1" applyAlignment="1" applyProtection="1">
      <alignment horizontal="right" vertical="center" wrapText="1" readingOrder="1"/>
      <protection locked="0"/>
    </xf>
    <xf numFmtId="3" fontId="18" fillId="14" borderId="7" xfId="0" applyNumberFormat="1" applyFont="1" applyFill="1" applyBorder="1" applyAlignment="1">
      <alignment horizontal="right" vertical="center" wrapText="1" readingOrder="1"/>
    </xf>
    <xf numFmtId="0" fontId="21" fillId="9" borderId="37" xfId="0" applyFont="1" applyFill="1" applyBorder="1" applyAlignment="1">
      <alignment horizontal="center" vertical="center" wrapText="1" shrinkToFit="1"/>
    </xf>
    <xf numFmtId="3" fontId="22" fillId="0" borderId="2" xfId="0" applyNumberFormat="1" applyFont="1" applyBorder="1" applyAlignment="1">
      <alignment horizontal="right" vertical="center" wrapText="1" shrinkToFit="1"/>
    </xf>
    <xf numFmtId="3" fontId="22" fillId="0" borderId="49" xfId="0" applyNumberFormat="1" applyFont="1" applyBorder="1" applyAlignment="1">
      <alignment horizontal="right" vertical="center" wrapText="1" shrinkToFit="1"/>
    </xf>
    <xf numFmtId="3" fontId="22" fillId="3" borderId="10" xfId="0" applyNumberFormat="1" applyFont="1" applyFill="1" applyBorder="1" applyAlignment="1">
      <alignment horizontal="right" vertical="center" wrapText="1" shrinkToFit="1"/>
    </xf>
    <xf numFmtId="3" fontId="22" fillId="3" borderId="2" xfId="0" applyNumberFormat="1" applyFont="1" applyFill="1" applyBorder="1" applyAlignment="1">
      <alignment horizontal="right" vertical="center" wrapText="1" shrinkToFit="1"/>
    </xf>
    <xf numFmtId="3" fontId="22" fillId="0" borderId="6" xfId="0" applyNumberFormat="1" applyFont="1" applyBorder="1" applyAlignment="1">
      <alignment horizontal="right" vertical="center" wrapText="1" shrinkToFit="1"/>
    </xf>
    <xf numFmtId="3" fontId="24" fillId="11" borderId="7" xfId="0" applyNumberFormat="1" applyFont="1" applyFill="1" applyBorder="1" applyAlignment="1">
      <alignment horizontal="right" vertical="center" wrapText="1" shrinkToFit="1"/>
    </xf>
    <xf numFmtId="3" fontId="22" fillId="0" borderId="12" xfId="0" applyNumberFormat="1" applyFont="1" applyBorder="1" applyAlignment="1">
      <alignment horizontal="right" vertical="center" wrapText="1" shrinkToFit="1"/>
    </xf>
    <xf numFmtId="3" fontId="22" fillId="0" borderId="1" xfId="0" applyNumberFormat="1" applyFont="1" applyBorder="1" applyAlignment="1">
      <alignment horizontal="right" vertical="center" wrapText="1" shrinkToFit="1"/>
    </xf>
    <xf numFmtId="3" fontId="24" fillId="11" borderId="28" xfId="0" applyNumberFormat="1" applyFont="1" applyFill="1" applyBorder="1" applyAlignment="1">
      <alignment horizontal="center" vertical="center" wrapText="1" shrinkToFit="1"/>
    </xf>
    <xf numFmtId="3" fontId="22" fillId="0" borderId="31" xfId="0" applyNumberFormat="1" applyFont="1" applyBorder="1" applyAlignment="1">
      <alignment horizontal="center" vertical="center" wrapText="1" shrinkToFit="1"/>
    </xf>
    <xf numFmtId="3" fontId="22" fillId="0" borderId="67" xfId="0" applyNumberFormat="1" applyFont="1" applyBorder="1" applyAlignment="1">
      <alignment horizontal="right" vertical="center" wrapText="1" shrinkToFit="1"/>
    </xf>
    <xf numFmtId="3" fontId="22" fillId="0" borderId="68" xfId="0" applyNumberFormat="1" applyFont="1" applyBorder="1" applyAlignment="1">
      <alignment horizontal="right" vertical="center" wrapText="1" shrinkToFit="1"/>
    </xf>
    <xf numFmtId="3" fontId="22" fillId="0" borderId="69" xfId="0" applyNumberFormat="1" applyFont="1" applyBorder="1" applyAlignment="1">
      <alignment horizontal="right" vertical="center" wrapText="1" shrinkToFit="1"/>
    </xf>
    <xf numFmtId="3" fontId="22" fillId="0" borderId="70" xfId="0" applyNumberFormat="1" applyFont="1" applyBorder="1" applyAlignment="1">
      <alignment horizontal="right" vertical="center" wrapText="1" shrinkToFit="1"/>
    </xf>
    <xf numFmtId="3" fontId="22" fillId="3" borderId="56" xfId="0" applyNumberFormat="1" applyFont="1" applyFill="1" applyBorder="1" applyAlignment="1">
      <alignment horizontal="center" vertical="center" wrapText="1" shrinkToFit="1"/>
    </xf>
    <xf numFmtId="3" fontId="22" fillId="0" borderId="58" xfId="0" applyNumberFormat="1" applyFont="1" applyBorder="1" applyAlignment="1">
      <alignment horizontal="center" vertical="center" wrapText="1" shrinkToFit="1"/>
    </xf>
    <xf numFmtId="3" fontId="22" fillId="0" borderId="66" xfId="0" applyNumberFormat="1" applyFont="1" applyBorder="1" applyAlignment="1">
      <alignment horizontal="center" vertical="center" wrapText="1" shrinkToFit="1"/>
    </xf>
    <xf numFmtId="3" fontId="22" fillId="0" borderId="56" xfId="0" applyNumberFormat="1" applyFont="1" applyBorder="1" applyAlignment="1">
      <alignment horizontal="center" vertical="center" wrapText="1" shrinkToFit="1"/>
    </xf>
    <xf numFmtId="0" fontId="18" fillId="2" borderId="37" xfId="0" applyFont="1" applyFill="1" applyBorder="1" applyAlignment="1">
      <alignment horizontal="center" vertical="center" wrapText="1" shrinkToFit="1"/>
    </xf>
    <xf numFmtId="1" fontId="0" fillId="0" borderId="0" xfId="0" applyNumberFormat="1"/>
    <xf numFmtId="3" fontId="22" fillId="0" borderId="36" xfId="2" applyNumberFormat="1" applyFont="1" applyFill="1" applyBorder="1" applyAlignment="1">
      <alignment horizontal="right"/>
      <protection locked="0"/>
    </xf>
    <xf numFmtId="3" fontId="21" fillId="12" borderId="28" xfId="1" applyNumberFormat="1" applyFont="1" applyFill="1" applyBorder="1" applyAlignment="1">
      <alignment horizontal="right"/>
      <protection locked="0"/>
    </xf>
    <xf numFmtId="3" fontId="21" fillId="12" borderId="7" xfId="1" applyNumberFormat="1" applyFont="1" applyFill="1" applyBorder="1" applyAlignment="1">
      <alignment horizontal="center"/>
      <protection locked="0"/>
    </xf>
    <xf numFmtId="3" fontId="20" fillId="3" borderId="34" xfId="0" applyNumberFormat="1" applyFont="1" applyFill="1" applyBorder="1" applyAlignment="1">
      <alignment horizontal="right" vertical="center" wrapText="1" shrinkToFi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2" fillId="13" borderId="18" xfId="0" applyFont="1" applyFill="1" applyBorder="1" applyAlignment="1">
      <alignment horizontal="center"/>
    </xf>
    <xf numFmtId="0" fontId="22" fillId="13" borderId="1" xfId="0" applyFont="1" applyFill="1" applyBorder="1" applyAlignment="1">
      <alignment horizontal="center"/>
    </xf>
    <xf numFmtId="1" fontId="22" fillId="12" borderId="43" xfId="2" applyNumberFormat="1" applyFont="1" applyFill="1" applyBorder="1" applyAlignment="1">
      <alignment horizontal="center" vertical="center" wrapText="1"/>
      <protection locked="0"/>
    </xf>
    <xf numFmtId="0" fontId="22" fillId="12" borderId="37" xfId="0" applyFont="1" applyFill="1" applyBorder="1" applyAlignment="1">
      <alignment horizontal="center" vertical="center" wrapText="1"/>
    </xf>
    <xf numFmtId="49" fontId="21" fillId="13" borderId="64" xfId="0" applyNumberFormat="1" applyFont="1" applyFill="1" applyBorder="1"/>
    <xf numFmtId="49" fontId="22" fillId="13" borderId="63" xfId="0" applyNumberFormat="1" applyFont="1" applyFill="1" applyBorder="1"/>
    <xf numFmtId="3" fontId="21" fillId="12" borderId="26" xfId="0" applyNumberFormat="1" applyFont="1" applyFill="1" applyBorder="1"/>
    <xf numFmtId="0" fontId="22" fillId="12" borderId="39" xfId="0" applyFont="1" applyFill="1" applyBorder="1"/>
    <xf numFmtId="0" fontId="21" fillId="0" borderId="0" xfId="0" applyFont="1" applyAlignment="1">
      <alignment horizontal="center"/>
    </xf>
    <xf numFmtId="0" fontId="21" fillId="13" borderId="40" xfId="0" applyFont="1" applyFill="1" applyBorder="1" applyAlignment="1">
      <alignment horizontal="center" vertical="center"/>
    </xf>
    <xf numFmtId="0" fontId="22" fillId="13" borderId="35" xfId="0" applyFont="1" applyFill="1" applyBorder="1"/>
    <xf numFmtId="0" fontId="21" fillId="12" borderId="40" xfId="0" applyFont="1" applyFill="1" applyBorder="1" applyAlignment="1">
      <alignment horizontal="center" vertical="center"/>
    </xf>
    <xf numFmtId="0" fontId="22" fillId="12" borderId="35" xfId="0" applyFont="1" applyFill="1" applyBorder="1" applyAlignment="1">
      <alignment horizontal="center" vertical="center"/>
    </xf>
    <xf numFmtId="0" fontId="22" fillId="12" borderId="36" xfId="0" applyFont="1" applyFill="1" applyBorder="1" applyAlignment="1">
      <alignment horizontal="center" vertical="center"/>
    </xf>
    <xf numFmtId="49" fontId="19" fillId="3" borderId="5" xfId="0" applyNumberFormat="1" applyFont="1" applyFill="1" applyBorder="1" applyAlignment="1">
      <alignment horizontal="left" vertical="center" wrapText="1" shrinkToFit="1"/>
    </xf>
    <xf numFmtId="0" fontId="19" fillId="0" borderId="22" xfId="0" applyFont="1" applyBorder="1" applyAlignment="1">
      <alignment horizontal="left" vertical="center" wrapText="1" shrinkToFit="1"/>
    </xf>
    <xf numFmtId="0" fontId="18" fillId="4" borderId="14" xfId="0" applyFont="1" applyFill="1" applyBorder="1" applyAlignment="1">
      <alignment horizontal="center"/>
    </xf>
    <xf numFmtId="0" fontId="18" fillId="4" borderId="7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21" fillId="15" borderId="0" xfId="0" applyFont="1" applyFill="1" applyAlignment="1">
      <alignment horizontal="center"/>
    </xf>
    <xf numFmtId="0" fontId="18" fillId="2" borderId="9" xfId="0" applyFont="1" applyFill="1" applyBorder="1" applyAlignment="1">
      <alignment horizontal="center" vertical="center" wrapText="1" shrinkToFit="1"/>
    </xf>
    <xf numFmtId="0" fontId="18" fillId="2" borderId="18" xfId="0" applyFont="1" applyFill="1" applyBorder="1" applyAlignment="1">
      <alignment horizontal="center" vertical="center" wrapText="1" shrinkToFit="1"/>
    </xf>
    <xf numFmtId="0" fontId="18" fillId="2" borderId="10" xfId="0" applyFont="1" applyFill="1" applyBorder="1" applyAlignment="1">
      <alignment horizontal="center" vertical="center" wrapText="1" shrinkToFit="1"/>
    </xf>
    <xf numFmtId="0" fontId="18" fillId="2" borderId="1" xfId="0" applyFont="1" applyFill="1" applyBorder="1" applyAlignment="1">
      <alignment horizontal="center" vertical="center" wrapText="1" shrinkToFit="1"/>
    </xf>
    <xf numFmtId="0" fontId="18" fillId="2" borderId="46" xfId="0" applyFont="1" applyFill="1" applyBorder="1" applyAlignment="1">
      <alignment horizontal="center" vertical="center" wrapText="1" shrinkToFit="1"/>
    </xf>
    <xf numFmtId="0" fontId="18" fillId="2" borderId="35" xfId="0" applyFont="1" applyFill="1" applyBorder="1" applyAlignment="1">
      <alignment horizontal="center" vertical="center" wrapText="1" shrinkToFit="1"/>
    </xf>
    <xf numFmtId="0" fontId="18" fillId="2" borderId="36" xfId="0" applyFont="1" applyFill="1" applyBorder="1" applyAlignment="1">
      <alignment horizontal="center" vertical="center" wrapText="1" shrinkToFit="1"/>
    </xf>
    <xf numFmtId="0" fontId="18" fillId="5" borderId="9" xfId="0" applyFont="1" applyFill="1" applyBorder="1" applyAlignment="1">
      <alignment horizontal="center"/>
    </xf>
    <xf numFmtId="0" fontId="18" fillId="5" borderId="10" xfId="0" applyFont="1" applyFill="1" applyBorder="1" applyAlignment="1">
      <alignment horizontal="center"/>
    </xf>
    <xf numFmtId="0" fontId="18" fillId="5" borderId="17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 vertical="center" wrapText="1" shrinkToFit="1"/>
    </xf>
    <xf numFmtId="0" fontId="18" fillId="2" borderId="2" xfId="0" applyFont="1" applyFill="1" applyBorder="1" applyAlignment="1">
      <alignment horizontal="center" vertical="center" wrapText="1" shrinkToFit="1"/>
    </xf>
    <xf numFmtId="1" fontId="18" fillId="2" borderId="34" xfId="0" applyNumberFormat="1" applyFont="1" applyFill="1" applyBorder="1" applyAlignment="1">
      <alignment horizontal="center" vertical="center" wrapText="1" shrinkToFit="1"/>
    </xf>
    <xf numFmtId="1" fontId="18" fillId="2" borderId="53" xfId="0" applyNumberFormat="1" applyFont="1" applyFill="1" applyBorder="1" applyAlignment="1">
      <alignment horizontal="center" vertical="center" wrapText="1" shrinkToFit="1"/>
    </xf>
    <xf numFmtId="1" fontId="18" fillId="2" borderId="57" xfId="0" applyNumberFormat="1" applyFont="1" applyFill="1" applyBorder="1" applyAlignment="1">
      <alignment horizontal="center" vertical="center" wrapText="1" shrinkToFit="1"/>
    </xf>
    <xf numFmtId="49" fontId="24" fillId="11" borderId="14" xfId="0" applyNumberFormat="1" applyFont="1" applyFill="1" applyBorder="1" applyAlignment="1">
      <alignment horizontal="center" vertical="center" wrapText="1" shrinkToFit="1"/>
    </xf>
    <xf numFmtId="49" fontId="24" fillId="11" borderId="7" xfId="0" applyNumberFormat="1" applyFont="1" applyFill="1" applyBorder="1" applyAlignment="1">
      <alignment horizontal="center" vertical="center" wrapText="1" shrinkToFit="1"/>
    </xf>
    <xf numFmtId="49" fontId="24" fillId="11" borderId="21" xfId="0" applyNumberFormat="1" applyFont="1" applyFill="1" applyBorder="1" applyAlignment="1">
      <alignment horizontal="center" vertical="center" wrapText="1" shrinkToFit="1"/>
    </xf>
    <xf numFmtId="49" fontId="21" fillId="10" borderId="14" xfId="0" applyNumberFormat="1" applyFont="1" applyFill="1" applyBorder="1" applyAlignment="1">
      <alignment horizontal="center" vertical="center" wrapText="1" shrinkToFit="1"/>
    </xf>
    <xf numFmtId="49" fontId="21" fillId="10" borderId="7" xfId="0" applyNumberFormat="1" applyFont="1" applyFill="1" applyBorder="1" applyAlignment="1">
      <alignment horizontal="center" vertical="center" wrapText="1" shrinkToFit="1"/>
    </xf>
    <xf numFmtId="0" fontId="21" fillId="11" borderId="21" xfId="0" applyFont="1" applyFill="1" applyBorder="1" applyAlignment="1">
      <alignment horizontal="center"/>
    </xf>
    <xf numFmtId="0" fontId="21" fillId="11" borderId="12" xfId="0" applyFont="1" applyFill="1" applyBorder="1" applyAlignment="1">
      <alignment horizontal="center"/>
    </xf>
    <xf numFmtId="0" fontId="21" fillId="11" borderId="13" xfId="0" applyFont="1" applyFill="1" applyBorder="1" applyAlignment="1">
      <alignment horizontal="center"/>
    </xf>
    <xf numFmtId="0" fontId="21" fillId="9" borderId="9" xfId="0" applyFont="1" applyFill="1" applyBorder="1" applyAlignment="1">
      <alignment horizontal="center" vertical="center" wrapText="1" shrinkToFit="1"/>
    </xf>
    <xf numFmtId="0" fontId="21" fillId="9" borderId="18" xfId="0" applyFont="1" applyFill="1" applyBorder="1" applyAlignment="1">
      <alignment horizontal="center" vertical="center" wrapText="1" shrinkToFit="1"/>
    </xf>
    <xf numFmtId="0" fontId="21" fillId="9" borderId="10" xfId="0" applyFont="1" applyFill="1" applyBorder="1" applyAlignment="1">
      <alignment horizontal="center" vertical="center" wrapText="1" shrinkToFit="1"/>
    </xf>
    <xf numFmtId="0" fontId="21" fillId="9" borderId="1" xfId="0" applyFont="1" applyFill="1" applyBorder="1" applyAlignment="1">
      <alignment horizontal="center" vertical="center" wrapText="1" shrinkToFit="1"/>
    </xf>
    <xf numFmtId="0" fontId="21" fillId="9" borderId="46" xfId="0" applyFont="1" applyFill="1" applyBorder="1" applyAlignment="1">
      <alignment horizontal="center" vertical="center" wrapText="1" shrinkToFit="1"/>
    </xf>
    <xf numFmtId="0" fontId="21" fillId="9" borderId="35" xfId="0" applyFont="1" applyFill="1" applyBorder="1" applyAlignment="1">
      <alignment horizontal="center" vertical="center" wrapText="1" shrinkToFit="1"/>
    </xf>
    <xf numFmtId="0" fontId="21" fillId="9" borderId="36" xfId="0" applyFont="1" applyFill="1" applyBorder="1" applyAlignment="1">
      <alignment horizontal="center" vertical="center" wrapText="1" shrinkToFit="1"/>
    </xf>
    <xf numFmtId="0" fontId="8" fillId="6" borderId="9" xfId="0" applyFont="1" applyFill="1" applyBorder="1" applyAlignment="1" applyProtection="1">
      <alignment horizontal="center" wrapText="1" readingOrder="1"/>
      <protection locked="0"/>
    </xf>
    <xf numFmtId="0" fontId="8" fillId="6" borderId="10" xfId="0" applyFont="1" applyFill="1" applyBorder="1" applyAlignment="1" applyProtection="1">
      <alignment horizontal="center" wrapText="1" readingOrder="1"/>
      <protection locked="0"/>
    </xf>
    <xf numFmtId="0" fontId="8" fillId="6" borderId="17" xfId="0" applyFont="1" applyFill="1" applyBorder="1" applyAlignment="1" applyProtection="1">
      <alignment horizontal="center" wrapText="1" readingOrder="1"/>
      <protection locked="0"/>
    </xf>
    <xf numFmtId="0" fontId="8" fillId="12" borderId="11" xfId="0" applyFont="1" applyFill="1" applyBorder="1" applyAlignment="1" applyProtection="1">
      <alignment horizontal="center" vertical="center" wrapText="1" readingOrder="1"/>
      <protection locked="0"/>
    </xf>
    <xf numFmtId="0" fontId="8" fillId="12" borderId="18" xfId="0" applyFont="1" applyFill="1" applyBorder="1" applyAlignment="1" applyProtection="1">
      <alignment horizontal="center" vertical="center" wrapText="1" readingOrder="1"/>
      <protection locked="0"/>
    </xf>
    <xf numFmtId="49" fontId="8" fillId="14" borderId="26" xfId="0" applyNumberFormat="1" applyFont="1" applyFill="1" applyBorder="1" applyAlignment="1" applyProtection="1">
      <alignment vertical="center" wrapText="1" readingOrder="1"/>
      <protection locked="0"/>
    </xf>
    <xf numFmtId="0" fontId="3" fillId="14" borderId="39" xfId="0" applyFont="1" applyFill="1" applyBorder="1" applyAlignment="1">
      <alignment vertical="center" wrapText="1" readingOrder="1"/>
    </xf>
    <xf numFmtId="0" fontId="8" fillId="12" borderId="14" xfId="0" applyFont="1" applyFill="1" applyBorder="1" applyAlignment="1" applyProtection="1">
      <alignment horizontal="center" vertical="center" wrapText="1" readingOrder="1"/>
      <protection locked="0"/>
    </xf>
    <xf numFmtId="0" fontId="8" fillId="12" borderId="7" xfId="0" applyFont="1" applyFill="1" applyBorder="1" applyAlignment="1" applyProtection="1">
      <alignment horizontal="center" vertical="center" wrapText="1" readingOrder="1"/>
      <protection locked="0"/>
    </xf>
    <xf numFmtId="0" fontId="8" fillId="12" borderId="34" xfId="0" applyFont="1" applyFill="1" applyBorder="1" applyAlignment="1" applyProtection="1">
      <alignment horizontal="center" vertical="center" wrapText="1" readingOrder="1"/>
      <protection locked="0"/>
    </xf>
    <xf numFmtId="0" fontId="8" fillId="12" borderId="53" xfId="0" applyFont="1" applyFill="1" applyBorder="1" applyAlignment="1" applyProtection="1">
      <alignment horizontal="center" vertical="center" wrapText="1" readingOrder="1"/>
      <protection locked="0"/>
    </xf>
    <xf numFmtId="0" fontId="8" fillId="12" borderId="57" xfId="0" applyFont="1" applyFill="1" applyBorder="1" applyAlignment="1" applyProtection="1">
      <alignment horizontal="center" vertical="center" wrapText="1" readingOrder="1"/>
      <protection locked="0"/>
    </xf>
    <xf numFmtId="49" fontId="3" fillId="14" borderId="39" xfId="0" applyNumberFormat="1" applyFont="1" applyFill="1" applyBorder="1" applyAlignment="1">
      <alignment vertical="center" wrapText="1" readingOrder="1"/>
    </xf>
    <xf numFmtId="0" fontId="21" fillId="7" borderId="0" xfId="0" applyFont="1" applyFill="1" applyAlignment="1">
      <alignment horizontal="center"/>
    </xf>
    <xf numFmtId="0" fontId="8" fillId="12" borderId="2" xfId="0" applyFont="1" applyFill="1" applyBorder="1" applyAlignment="1" applyProtection="1">
      <alignment horizontal="center" vertical="center" wrapText="1" readingOrder="1"/>
      <protection locked="0"/>
    </xf>
    <xf numFmtId="0" fontId="8" fillId="12" borderId="1" xfId="0" applyFont="1" applyFill="1" applyBorder="1" applyAlignment="1" applyProtection="1">
      <alignment horizontal="center" vertical="center" wrapText="1" readingOrder="1"/>
      <protection locked="0"/>
    </xf>
    <xf numFmtId="0" fontId="8" fillId="12" borderId="9" xfId="0" applyFont="1" applyFill="1" applyBorder="1" applyAlignment="1" applyProtection="1">
      <alignment horizontal="center" vertical="center" wrapText="1" readingOrder="1"/>
      <protection locked="0"/>
    </xf>
    <xf numFmtId="0" fontId="8" fillId="12" borderId="10" xfId="0" applyFont="1" applyFill="1" applyBorder="1" applyAlignment="1" applyProtection="1">
      <alignment horizontal="center" vertical="center" wrapText="1" readingOrder="1"/>
      <protection locked="0"/>
    </xf>
    <xf numFmtId="0" fontId="8" fillId="6" borderId="26" xfId="0" applyFont="1" applyFill="1" applyBorder="1" applyAlignment="1" applyProtection="1">
      <alignment horizontal="center" wrapText="1" readingOrder="1"/>
      <protection locked="0"/>
    </xf>
    <xf numFmtId="0" fontId="8" fillId="6" borderId="27" xfId="0" applyFont="1" applyFill="1" applyBorder="1" applyAlignment="1" applyProtection="1">
      <alignment horizontal="center" wrapText="1" readingOrder="1"/>
      <protection locked="0"/>
    </xf>
    <xf numFmtId="0" fontId="8" fillId="6" borderId="28" xfId="0" applyFont="1" applyFill="1" applyBorder="1" applyAlignment="1" applyProtection="1">
      <alignment horizontal="center" wrapText="1" readingOrder="1"/>
      <protection locked="0"/>
    </xf>
    <xf numFmtId="0" fontId="8" fillId="12" borderId="48" xfId="0" applyFont="1" applyFill="1" applyBorder="1" applyAlignment="1" applyProtection="1">
      <alignment horizontal="center" vertical="center" wrapText="1" readingOrder="1"/>
      <protection locked="0"/>
    </xf>
    <xf numFmtId="0" fontId="8" fillId="12" borderId="49" xfId="0" applyFont="1" applyFill="1" applyBorder="1" applyAlignment="1" applyProtection="1">
      <alignment horizontal="center" vertical="center" wrapText="1" readingOrder="1"/>
      <protection locked="0"/>
    </xf>
    <xf numFmtId="0" fontId="8" fillId="14" borderId="26" xfId="0" applyFont="1" applyFill="1" applyBorder="1" applyAlignment="1" applyProtection="1">
      <alignment vertical="center" wrapText="1" readingOrder="1"/>
      <protection locked="0"/>
    </xf>
    <xf numFmtId="0" fontId="3" fillId="14" borderId="28" xfId="0" applyFont="1" applyFill="1" applyBorder="1" applyAlignment="1">
      <alignment vertical="center" wrapText="1" readingOrder="1"/>
    </xf>
    <xf numFmtId="0" fontId="8" fillId="16" borderId="34" xfId="0" applyFont="1" applyFill="1" applyBorder="1" applyAlignment="1" applyProtection="1">
      <alignment horizontal="left" vertical="center" wrapText="1" readingOrder="1"/>
      <protection locked="0"/>
    </xf>
    <xf numFmtId="0" fontId="8" fillId="16" borderId="53" xfId="0" applyFont="1" applyFill="1" applyBorder="1" applyAlignment="1" applyProtection="1">
      <alignment horizontal="left" vertical="center" wrapText="1" readingOrder="1"/>
      <protection locked="0"/>
    </xf>
    <xf numFmtId="0" fontId="8" fillId="16" borderId="29" xfId="0" applyFont="1" applyFill="1" applyBorder="1" applyAlignment="1" applyProtection="1">
      <alignment horizontal="left" vertical="center" wrapText="1" readingOrder="1"/>
      <protection locked="0"/>
    </xf>
    <xf numFmtId="3" fontId="18" fillId="14" borderId="26" xfId="0" applyNumberFormat="1" applyFont="1" applyFill="1" applyBorder="1" applyAlignment="1">
      <alignment horizontal="center" vertical="center" wrapText="1" readingOrder="1"/>
    </xf>
    <xf numFmtId="3" fontId="18" fillId="14" borderId="27" xfId="0" applyNumberFormat="1" applyFont="1" applyFill="1" applyBorder="1" applyAlignment="1">
      <alignment horizontal="center" vertical="center" wrapText="1" readingOrder="1"/>
    </xf>
    <xf numFmtId="3" fontId="18" fillId="14" borderId="39" xfId="0" applyNumberFormat="1" applyFont="1" applyFill="1" applyBorder="1" applyAlignment="1">
      <alignment horizontal="center" vertical="center" wrapText="1" readingOrder="1"/>
    </xf>
    <xf numFmtId="0" fontId="0" fillId="0" borderId="5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16" borderId="46" xfId="0" applyFont="1" applyFill="1" applyBorder="1" applyAlignment="1" applyProtection="1">
      <alignment horizontal="left" vertical="center" wrapText="1" readingOrder="1"/>
      <protection locked="0"/>
    </xf>
    <xf numFmtId="0" fontId="8" fillId="16" borderId="35" xfId="0" applyFont="1" applyFill="1" applyBorder="1" applyAlignment="1" applyProtection="1">
      <alignment horizontal="left" vertical="center" wrapText="1" readingOrder="1"/>
      <protection locked="0"/>
    </xf>
    <xf numFmtId="0" fontId="8" fillId="16" borderId="52" xfId="0" applyFont="1" applyFill="1" applyBorder="1" applyAlignment="1" applyProtection="1">
      <alignment horizontal="left" vertical="center" wrapText="1" readingOrder="1"/>
      <protection locked="0"/>
    </xf>
    <xf numFmtId="49" fontId="9" fillId="0" borderId="54" xfId="0" applyNumberFormat="1" applyFont="1" applyBorder="1" applyAlignment="1" applyProtection="1">
      <alignment horizontal="left" vertical="center" wrapText="1" readingOrder="1"/>
      <protection locked="0"/>
    </xf>
    <xf numFmtId="49" fontId="9" fillId="0" borderId="53" xfId="0" applyNumberFormat="1" applyFont="1" applyBorder="1" applyAlignment="1" applyProtection="1">
      <alignment horizontal="left" vertical="center" wrapText="1" readingOrder="1"/>
      <protection locked="0"/>
    </xf>
    <xf numFmtId="49" fontId="9" fillId="0" borderId="29" xfId="0" applyNumberFormat="1" applyFont="1" applyBorder="1" applyAlignment="1" applyProtection="1">
      <alignment horizontal="left" vertical="center" wrapText="1" readingOrder="1"/>
      <protection locked="0"/>
    </xf>
    <xf numFmtId="0" fontId="9" fillId="0" borderId="54" xfId="0" applyFont="1" applyBorder="1" applyAlignment="1" applyProtection="1">
      <alignment horizontal="left" vertical="center" wrapText="1" readingOrder="1"/>
      <protection locked="0"/>
    </xf>
    <xf numFmtId="0" fontId="9" fillId="0" borderId="29" xfId="0" applyFont="1" applyBorder="1" applyAlignment="1" applyProtection="1">
      <alignment horizontal="left" vertical="center" wrapText="1" readingOrder="1"/>
      <protection locked="0"/>
    </xf>
    <xf numFmtId="0" fontId="9" fillId="0" borderId="40" xfId="0" applyFont="1" applyBorder="1" applyAlignment="1" applyProtection="1">
      <alignment horizontal="left" vertical="center" wrapText="1" readingOrder="1"/>
      <protection locked="0"/>
    </xf>
    <xf numFmtId="0" fontId="9" fillId="0" borderId="52" xfId="0" applyFont="1" applyBorder="1" applyAlignment="1" applyProtection="1">
      <alignment horizontal="left" vertical="center" wrapText="1" readingOrder="1"/>
      <protection locked="0"/>
    </xf>
    <xf numFmtId="0" fontId="9" fillId="16" borderId="46" xfId="0" applyFont="1" applyFill="1" applyBorder="1" applyAlignment="1" applyProtection="1">
      <alignment horizontal="left" vertical="center" wrapText="1" readingOrder="1"/>
      <protection locked="0"/>
    </xf>
    <xf numFmtId="0" fontId="9" fillId="16" borderId="35" xfId="0" applyFont="1" applyFill="1" applyBorder="1" applyAlignment="1" applyProtection="1">
      <alignment horizontal="left" vertical="center" wrapText="1" readingOrder="1"/>
      <protection locked="0"/>
    </xf>
    <xf numFmtId="0" fontId="9" fillId="16" borderId="52" xfId="0" applyFont="1" applyFill="1" applyBorder="1" applyAlignment="1" applyProtection="1">
      <alignment horizontal="left" vertical="center" wrapText="1" readingOrder="1"/>
      <protection locked="0"/>
    </xf>
    <xf numFmtId="0" fontId="9" fillId="0" borderId="53" xfId="0" applyFont="1" applyBorder="1" applyAlignment="1" applyProtection="1">
      <alignment horizontal="left" vertical="center" wrapText="1" readingOrder="1"/>
      <protection locked="0"/>
    </xf>
    <xf numFmtId="0" fontId="8" fillId="12" borderId="26" xfId="0" applyFont="1" applyFill="1" applyBorder="1" applyAlignment="1" applyProtection="1">
      <alignment horizontal="center" vertical="center" wrapText="1" readingOrder="1"/>
      <protection locked="0"/>
    </xf>
    <xf numFmtId="0" fontId="8" fillId="12" borderId="27" xfId="0" applyFont="1" applyFill="1" applyBorder="1" applyAlignment="1" applyProtection="1">
      <alignment horizontal="center" vertical="center" wrapText="1" readingOrder="1"/>
      <protection locked="0"/>
    </xf>
    <xf numFmtId="0" fontId="8" fillId="12" borderId="28" xfId="0" applyFont="1" applyFill="1" applyBorder="1" applyAlignment="1" applyProtection="1">
      <alignment horizontal="center" vertical="center" wrapText="1" readingOrder="1"/>
      <protection locked="0"/>
    </xf>
    <xf numFmtId="49" fontId="9" fillId="0" borderId="43" xfId="0" applyNumberFormat="1" applyFont="1" applyBorder="1" applyAlignment="1" applyProtection="1">
      <alignment horizontal="left" vertical="center" wrapText="1" readingOrder="1"/>
      <protection locked="0"/>
    </xf>
    <xf numFmtId="49" fontId="9" fillId="0" borderId="55" xfId="0" applyNumberFormat="1" applyFont="1" applyBorder="1" applyAlignment="1" applyProtection="1">
      <alignment horizontal="left" vertical="center" wrapText="1" readingOrder="1"/>
      <protection locked="0"/>
    </xf>
    <xf numFmtId="49" fontId="9" fillId="0" borderId="37" xfId="0" applyNumberFormat="1" applyFont="1" applyBorder="1" applyAlignment="1" applyProtection="1">
      <alignment horizontal="left" vertical="center" wrapText="1" readingOrder="1"/>
      <protection locked="0"/>
    </xf>
    <xf numFmtId="49" fontId="8" fillId="14" borderId="26" xfId="0" applyNumberFormat="1" applyFont="1" applyFill="1" applyBorder="1" applyAlignment="1" applyProtection="1">
      <alignment horizontal="center" vertical="center" wrapText="1" readingOrder="1"/>
      <protection locked="0"/>
    </xf>
    <xf numFmtId="49" fontId="8" fillId="14" borderId="27" xfId="0" applyNumberFormat="1" applyFont="1" applyFill="1" applyBorder="1" applyAlignment="1" applyProtection="1">
      <alignment horizontal="center" vertical="center" wrapText="1" readingOrder="1"/>
      <protection locked="0"/>
    </xf>
    <xf numFmtId="49" fontId="8" fillId="14" borderId="39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54" xfId="0" applyFont="1" applyBorder="1" applyAlignment="1" applyProtection="1">
      <alignment horizontal="center" vertical="center" wrapText="1" readingOrder="1"/>
      <protection locked="0"/>
    </xf>
    <xf numFmtId="0" fontId="9" fillId="0" borderId="53" xfId="0" applyFont="1" applyBorder="1" applyAlignment="1" applyProtection="1">
      <alignment horizontal="center" vertical="center" wrapText="1" readingOrder="1"/>
      <protection locked="0"/>
    </xf>
    <xf numFmtId="0" fontId="9" fillId="0" borderId="29" xfId="0" applyFont="1" applyBorder="1" applyAlignment="1" applyProtection="1">
      <alignment horizontal="center" vertical="center" wrapText="1" readingOrder="1"/>
      <protection locked="0"/>
    </xf>
    <xf numFmtId="0" fontId="9" fillId="16" borderId="34" xfId="0" applyFont="1" applyFill="1" applyBorder="1" applyAlignment="1" applyProtection="1">
      <alignment horizontal="left" vertical="center" wrapText="1" readingOrder="1"/>
      <protection locked="0"/>
    </xf>
    <xf numFmtId="0" fontId="9" fillId="16" borderId="53" xfId="0" applyFont="1" applyFill="1" applyBorder="1" applyAlignment="1" applyProtection="1">
      <alignment horizontal="left" vertical="center" wrapText="1" readingOrder="1"/>
      <protection locked="0"/>
    </xf>
    <xf numFmtId="0" fontId="9" fillId="16" borderId="29" xfId="0" applyFont="1" applyFill="1" applyBorder="1" applyAlignment="1" applyProtection="1">
      <alignment horizontal="left" vertical="center" wrapText="1" readingOrder="1"/>
      <protection locked="0"/>
    </xf>
    <xf numFmtId="49" fontId="8" fillId="16" borderId="34" xfId="0" applyNumberFormat="1" applyFont="1" applyFill="1" applyBorder="1" applyAlignment="1" applyProtection="1">
      <alignment horizontal="left" vertical="center" wrapText="1" readingOrder="1"/>
      <protection locked="0"/>
    </xf>
    <xf numFmtId="49" fontId="8" fillId="16" borderId="53" xfId="0" applyNumberFormat="1" applyFont="1" applyFill="1" applyBorder="1" applyAlignment="1" applyProtection="1">
      <alignment horizontal="left" vertical="center" wrapText="1" readingOrder="1"/>
      <protection locked="0"/>
    </xf>
    <xf numFmtId="49" fontId="8" fillId="16" borderId="29" xfId="0" applyNumberFormat="1" applyFont="1" applyFill="1" applyBorder="1" applyAlignment="1" applyProtection="1">
      <alignment horizontal="left" vertical="center" wrapText="1" readingOrder="1"/>
      <protection locked="0"/>
    </xf>
    <xf numFmtId="0" fontId="8" fillId="16" borderId="59" xfId="0" applyFont="1" applyFill="1" applyBorder="1" applyAlignment="1" applyProtection="1">
      <alignment horizontal="left" vertical="center" wrapText="1" readingOrder="1"/>
      <protection locked="0"/>
    </xf>
    <xf numFmtId="0" fontId="8" fillId="16" borderId="60" xfId="0" applyFont="1" applyFill="1" applyBorder="1" applyAlignment="1" applyProtection="1">
      <alignment horizontal="left" vertical="center" wrapText="1" readingOrder="1"/>
      <protection locked="0"/>
    </xf>
    <xf numFmtId="0" fontId="8" fillId="16" borderId="61" xfId="0" applyFont="1" applyFill="1" applyBorder="1" applyAlignment="1" applyProtection="1">
      <alignment horizontal="left" vertical="center" wrapText="1" readingOrder="1"/>
      <protection locked="0"/>
    </xf>
    <xf numFmtId="0" fontId="8" fillId="16" borderId="31" xfId="0" applyFont="1" applyFill="1" applyBorder="1" applyAlignment="1" applyProtection="1">
      <alignment horizontal="left" vertical="center" wrapText="1" readingOrder="1"/>
      <protection locked="0"/>
    </xf>
    <xf numFmtId="0" fontId="8" fillId="16" borderId="65" xfId="0" applyFont="1" applyFill="1" applyBorder="1" applyAlignment="1" applyProtection="1">
      <alignment horizontal="left" vertical="center" wrapText="1" readingOrder="1"/>
      <protection locked="0"/>
    </xf>
    <xf numFmtId="0" fontId="8" fillId="16" borderId="30" xfId="0" applyFont="1" applyFill="1" applyBorder="1" applyAlignment="1" applyProtection="1">
      <alignment horizontal="left" vertical="center" wrapText="1" readingOrder="1"/>
      <protection locked="0"/>
    </xf>
    <xf numFmtId="0" fontId="9" fillId="0" borderId="34" xfId="0" applyFont="1" applyBorder="1" applyAlignment="1" applyProtection="1">
      <alignment horizontal="left" vertical="center" wrapText="1" readingOrder="1"/>
      <protection locked="0"/>
    </xf>
    <xf numFmtId="0" fontId="8" fillId="16" borderId="51" xfId="0" applyFont="1" applyFill="1" applyBorder="1" applyAlignment="1" applyProtection="1">
      <alignment horizontal="left" vertical="center" wrapText="1" readingOrder="1"/>
      <protection locked="0"/>
    </xf>
    <xf numFmtId="0" fontId="8" fillId="16" borderId="55" xfId="0" applyFont="1" applyFill="1" applyBorder="1" applyAlignment="1" applyProtection="1">
      <alignment horizontal="left" vertical="center" wrapText="1" readingOrder="1"/>
      <protection locked="0"/>
    </xf>
    <xf numFmtId="0" fontId="8" fillId="16" borderId="37" xfId="0" applyFont="1" applyFill="1" applyBorder="1" applyAlignment="1" applyProtection="1">
      <alignment horizontal="left" vertical="center" wrapText="1" readingOrder="1"/>
      <protection locked="0"/>
    </xf>
    <xf numFmtId="3" fontId="20" fillId="3" borderId="6" xfId="0" applyNumberFormat="1" applyFont="1" applyFill="1" applyBorder="1" applyAlignment="1">
      <alignment horizontal="right" vertical="center" wrapText="1" shrinkToFit="1"/>
    </xf>
    <xf numFmtId="3" fontId="22" fillId="0" borderId="49" xfId="2" applyNumberFormat="1" applyFont="1" applyFill="1" applyBorder="1" applyAlignment="1">
      <alignment horizontal="center"/>
      <protection locked="0"/>
    </xf>
    <xf numFmtId="49" fontId="25" fillId="0" borderId="3" xfId="1" applyNumberFormat="1" applyFont="1" applyBorder="1" applyAlignment="1">
      <alignment horizontal="right"/>
      <protection locked="0"/>
    </xf>
    <xf numFmtId="3" fontId="22" fillId="0" borderId="31" xfId="1" applyNumberFormat="1" applyFont="1" applyBorder="1" applyAlignment="1">
      <alignment horizontal="right"/>
      <protection locked="0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0"/>
  <sheetViews>
    <sheetView tabSelected="1" zoomScaleNormal="100" workbookViewId="0">
      <selection activeCell="L30" sqref="L30"/>
    </sheetView>
  </sheetViews>
  <sheetFormatPr defaultRowHeight="12.75" x14ac:dyDescent="0.2"/>
  <cols>
    <col min="1" max="1" width="6.28515625" customWidth="1"/>
    <col min="2" max="2" width="29.28515625" customWidth="1"/>
    <col min="3" max="5" width="11.5703125" customWidth="1"/>
    <col min="6" max="6" width="10" customWidth="1"/>
    <col min="7" max="7" width="6" customWidth="1"/>
    <col min="8" max="8" width="11" customWidth="1"/>
    <col min="9" max="9" width="4.7109375" customWidth="1"/>
    <col min="10" max="10" width="28.140625" customWidth="1"/>
    <col min="11" max="13" width="11.140625" customWidth="1"/>
    <col min="14" max="14" width="9.28515625" customWidth="1"/>
    <col min="15" max="15" width="6" customWidth="1"/>
    <col min="16" max="16" width="11" customWidth="1"/>
    <col min="17" max="18" width="11.5703125" bestFit="1" customWidth="1"/>
  </cols>
  <sheetData>
    <row r="1" spans="1:18" x14ac:dyDescent="0.2">
      <c r="N1" s="351"/>
      <c r="O1" s="351"/>
      <c r="P1" s="352"/>
    </row>
    <row r="2" spans="1:18" x14ac:dyDescent="0.2">
      <c r="A2" s="131"/>
      <c r="B2" s="361" t="s">
        <v>170</v>
      </c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</row>
    <row r="3" spans="1:18" x14ac:dyDescent="0.2">
      <c r="A3" s="131"/>
      <c r="B3" s="361" t="s">
        <v>116</v>
      </c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</row>
    <row r="4" spans="1:18" x14ac:dyDescent="0.2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1:18" x14ac:dyDescent="0.2">
      <c r="A5" s="131"/>
      <c r="B5" s="361" t="s">
        <v>48</v>
      </c>
      <c r="C5" s="361"/>
      <c r="D5" s="361"/>
      <c r="E5" s="361"/>
      <c r="F5" s="361"/>
      <c r="G5" s="361"/>
      <c r="H5" s="361"/>
      <c r="I5" s="361"/>
      <c r="J5" s="361"/>
      <c r="K5" s="361"/>
      <c r="L5" s="361"/>
      <c r="M5" s="361"/>
      <c r="N5" s="361"/>
      <c r="O5" s="361"/>
      <c r="P5" s="361"/>
    </row>
    <row r="6" spans="1:18" ht="13.5" thickBot="1" x14ac:dyDescent="0.25">
      <c r="A6" s="131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3" t="s">
        <v>51</v>
      </c>
    </row>
    <row r="7" spans="1:18" x14ac:dyDescent="0.2">
      <c r="A7" s="362" t="s">
        <v>34</v>
      </c>
      <c r="B7" s="363"/>
      <c r="C7" s="363"/>
      <c r="D7" s="363"/>
      <c r="E7" s="363"/>
      <c r="F7" s="363"/>
      <c r="G7" s="363"/>
      <c r="H7" s="363"/>
      <c r="I7" s="364" t="s">
        <v>38</v>
      </c>
      <c r="J7" s="365"/>
      <c r="K7" s="365"/>
      <c r="L7" s="365"/>
      <c r="M7" s="365"/>
      <c r="N7" s="365"/>
      <c r="O7" s="365"/>
      <c r="P7" s="366"/>
    </row>
    <row r="8" spans="1:18" ht="37.5" customHeight="1" thickBot="1" x14ac:dyDescent="0.25">
      <c r="A8" s="353" t="s">
        <v>52</v>
      </c>
      <c r="B8" s="354"/>
      <c r="C8" s="183" t="s">
        <v>152</v>
      </c>
      <c r="D8" s="183" t="s">
        <v>169</v>
      </c>
      <c r="E8" s="183" t="s">
        <v>168</v>
      </c>
      <c r="F8" s="183" t="s">
        <v>113</v>
      </c>
      <c r="G8" s="183" t="s">
        <v>58</v>
      </c>
      <c r="H8" s="183" t="s">
        <v>167</v>
      </c>
      <c r="I8" s="355" t="s">
        <v>52</v>
      </c>
      <c r="J8" s="356"/>
      <c r="K8" s="277" t="s">
        <v>152</v>
      </c>
      <c r="L8" s="277" t="s">
        <v>169</v>
      </c>
      <c r="M8" s="277" t="s">
        <v>168</v>
      </c>
      <c r="N8" s="278" t="s">
        <v>113</v>
      </c>
      <c r="O8" s="279" t="s">
        <v>58</v>
      </c>
      <c r="P8" s="184" t="s">
        <v>167</v>
      </c>
    </row>
    <row r="9" spans="1:18" ht="19.5" customHeight="1" x14ac:dyDescent="0.2">
      <c r="A9" s="311" t="s">
        <v>76</v>
      </c>
      <c r="B9" s="134" t="s">
        <v>77</v>
      </c>
      <c r="C9" s="154">
        <v>0</v>
      </c>
      <c r="D9" s="154">
        <v>0</v>
      </c>
      <c r="E9" s="154">
        <v>2</v>
      </c>
      <c r="F9" s="312">
        <v>0</v>
      </c>
      <c r="G9" s="281">
        <v>0</v>
      </c>
      <c r="H9" s="250">
        <v>0</v>
      </c>
      <c r="I9" s="135" t="s">
        <v>60</v>
      </c>
      <c r="J9" s="226" t="s">
        <v>35</v>
      </c>
      <c r="K9" s="251">
        <f>SUM('Kiadások(Műv.Ház 2023)'!C17/1000)</f>
        <v>13150</v>
      </c>
      <c r="L9" s="251">
        <f>SUM('Kiadások(Műv.Ház 2023)'!D17/1000)</f>
        <v>13150</v>
      </c>
      <c r="M9" s="251">
        <f>SUM('Kiadások(Műv.Ház 2023)'!E17/1000)</f>
        <v>9456.4869999999992</v>
      </c>
      <c r="N9" s="226">
        <f>SUM('Kiadások(Műv.Ház 2023)'!F17/1000)</f>
        <v>0</v>
      </c>
      <c r="O9" s="281">
        <f>P9/L9*100</f>
        <v>100</v>
      </c>
      <c r="P9" s="347">
        <f>'Kiadások(Műv.Ház 2023)'!H17/1000</f>
        <v>13150</v>
      </c>
    </row>
    <row r="10" spans="1:18" ht="20.100000000000001" customHeight="1" x14ac:dyDescent="0.2">
      <c r="A10" s="150" t="s">
        <v>107</v>
      </c>
      <c r="B10" s="137" t="s">
        <v>130</v>
      </c>
      <c r="C10" s="155">
        <f>SUM('Bevételek(Műv.Ház 2023)'!C8/1000)</f>
        <v>600</v>
      </c>
      <c r="D10" s="155">
        <v>1000</v>
      </c>
      <c r="E10" s="155">
        <f>SUM('Bevételek(Műv.Ház 2023)'!E8/1000)</f>
        <v>934</v>
      </c>
      <c r="F10" s="155">
        <f>SUM('Bevételek(Műv.Ház 2023)'!F8/1000)</f>
        <v>200</v>
      </c>
      <c r="G10" s="280">
        <f>H10/D10*100</f>
        <v>120</v>
      </c>
      <c r="H10" s="138">
        <f>SUM('Bevételek(Műv.Ház 2023)'!H8/1000)</f>
        <v>1200</v>
      </c>
      <c r="I10" s="139" t="s">
        <v>53</v>
      </c>
      <c r="J10" s="136" t="s">
        <v>43</v>
      </c>
      <c r="K10" s="152">
        <f>SUM('Kiadások(Műv.Ház 2023)'!C20/1000)</f>
        <v>1710</v>
      </c>
      <c r="L10" s="152">
        <f>SUM('Kiadások(Műv.Ház 2023)'!D20/1000)</f>
        <v>1710</v>
      </c>
      <c r="M10" s="152">
        <f>SUM('Kiadások(Műv.Ház 2023)'!E20/1000)</f>
        <v>1245.491</v>
      </c>
      <c r="N10" s="152">
        <f>SUM('Kiadások(Műv.Ház 2023)'!F20/1000)</f>
        <v>0</v>
      </c>
      <c r="O10" s="280">
        <f>P10/L10*100</f>
        <v>100</v>
      </c>
      <c r="P10" s="229">
        <f>'Kiadások(Műv.Ház 2023)'!H20/1000</f>
        <v>1710</v>
      </c>
      <c r="Q10" s="22"/>
      <c r="R10" s="22"/>
    </row>
    <row r="11" spans="1:18" ht="20.100000000000001" customHeight="1" x14ac:dyDescent="0.2">
      <c r="A11" s="150" t="s">
        <v>62</v>
      </c>
      <c r="B11" s="137" t="s">
        <v>131</v>
      </c>
      <c r="C11" s="155">
        <f>SUM('Bevételek(Műv.Ház 2023)'!C9/1000)</f>
        <v>3</v>
      </c>
      <c r="D11" s="155">
        <v>3</v>
      </c>
      <c r="E11" s="155">
        <f>SUM('Bevételek(Műv.Ház 2023)'!E9/1000)</f>
        <v>1.8169999999999999</v>
      </c>
      <c r="F11" s="155">
        <f>SUM('Bevételek(Műv.Ház 2023)'!F9/1000)</f>
        <v>0</v>
      </c>
      <c r="G11" s="280">
        <f t="shared" ref="G11:G15" si="0">H11/D11*100</f>
        <v>100</v>
      </c>
      <c r="H11" s="138">
        <f>SUM('Bevételek(Műv.Ház 2023)'!H9/1000)</f>
        <v>3</v>
      </c>
      <c r="I11" s="142" t="s">
        <v>54</v>
      </c>
      <c r="J11" s="143" t="s">
        <v>37</v>
      </c>
      <c r="K11" s="152">
        <f>SUM('Kiadások(Műv.Ház 2023)'!C32/1000)</f>
        <v>7189</v>
      </c>
      <c r="L11" s="152">
        <f>SUM('Kiadások(Műv.Ház 2023)'!D32/1000)</f>
        <v>7683</v>
      </c>
      <c r="M11" s="152">
        <f>SUM('Kiadások(Műv.Ház 2023)'!E32/1000)</f>
        <v>3692.8150000000001</v>
      </c>
      <c r="N11" s="152">
        <f>SUM('Kiadások(Műv.Ház 2023)'!F32/1000)</f>
        <v>200</v>
      </c>
      <c r="O11" s="280">
        <f>P11/L11*100</f>
        <v>102.60314981127163</v>
      </c>
      <c r="P11" s="230">
        <f>'Kiadások(Műv.Ház 2023)'!H32/1000</f>
        <v>7883</v>
      </c>
      <c r="Q11" s="22"/>
      <c r="R11" s="22"/>
    </row>
    <row r="12" spans="1:18" ht="18.75" customHeight="1" x14ac:dyDescent="0.25">
      <c r="A12" s="151" t="s">
        <v>56</v>
      </c>
      <c r="B12" s="140" t="s">
        <v>42</v>
      </c>
      <c r="C12" s="156">
        <f>SUM('Bevételek(Műv.Ház 2023)'!C12/1000)</f>
        <v>5800.2730000000001</v>
      </c>
      <c r="D12" s="156">
        <v>5800.2730000000001</v>
      </c>
      <c r="E12" s="156">
        <f>SUM('Bevételek(Műv.Ház 2023)'!E12/1000)</f>
        <v>5800.2730000000001</v>
      </c>
      <c r="F12" s="156">
        <f>SUM('Bevételek(Műv.Ház 2023)'!F12/1000)</f>
        <v>0</v>
      </c>
      <c r="G12" s="280">
        <f t="shared" si="0"/>
        <v>100</v>
      </c>
      <c r="H12" s="141">
        <f>SUM('Bevételek(Műv.Ház 2023)'!H12/1000)</f>
        <v>5800.2730000000001</v>
      </c>
      <c r="I12" s="252"/>
      <c r="J12" s="249"/>
      <c r="K12" s="249"/>
      <c r="L12" s="249"/>
      <c r="M12" s="249"/>
      <c r="N12" s="249"/>
      <c r="O12" s="249"/>
      <c r="P12" s="253"/>
      <c r="Q12" s="27"/>
      <c r="R12" s="27"/>
    </row>
    <row r="13" spans="1:18" ht="20.100000000000001" customHeight="1" x14ac:dyDescent="0.25">
      <c r="A13" s="151" t="s">
        <v>56</v>
      </c>
      <c r="B13" s="140" t="s">
        <v>44</v>
      </c>
      <c r="C13" s="156">
        <f>SUM('Bevételek(Műv.Ház 2023)'!C13/1000)</f>
        <v>15727.358</v>
      </c>
      <c r="D13" s="156">
        <v>15327.358</v>
      </c>
      <c r="E13" s="156">
        <f>SUM('Bevételek(Műv.Ház 2023)'!E13/1000)</f>
        <v>8250.3310000000001</v>
      </c>
      <c r="F13" s="156">
        <f>SUM('Bevételek(Műv.Ház 2023)'!F13/1000)</f>
        <v>-1597.3679999999999</v>
      </c>
      <c r="G13" s="280">
        <f t="shared" si="0"/>
        <v>89.578321325827972</v>
      </c>
      <c r="H13" s="141">
        <f>SUM('Bevételek(Műv.Ház 2023)'!H13/1000)</f>
        <v>13729.99</v>
      </c>
      <c r="I13" s="142"/>
      <c r="J13" s="143"/>
      <c r="K13" s="313"/>
      <c r="L13" s="313"/>
      <c r="M13" s="313"/>
      <c r="N13" s="314"/>
      <c r="O13" s="280"/>
      <c r="P13" s="230"/>
      <c r="Q13" s="27"/>
      <c r="R13" s="27"/>
    </row>
    <row r="14" spans="1:18" ht="20.100000000000001" customHeight="1" x14ac:dyDescent="0.25">
      <c r="A14" s="151" t="s">
        <v>56</v>
      </c>
      <c r="B14" s="140" t="s">
        <v>173</v>
      </c>
      <c r="C14" s="156">
        <f>SUM('Bevételek(Műv.Ház 2023)'!C14)</f>
        <v>0</v>
      </c>
      <c r="D14" s="156">
        <f>SUM('Bevételek(Műv.Ház 2023)'!D14)</f>
        <v>0</v>
      </c>
      <c r="E14" s="156">
        <f>SUM('Bevételek(Műv.Ház 2023)'!E14/1000)</f>
        <v>1213.9960000000001</v>
      </c>
      <c r="F14" s="156">
        <f>SUM('Bevételek(Műv.Ház 2023)'!F14/1000)</f>
        <v>1597.3679999999999</v>
      </c>
      <c r="G14" s="156">
        <f>SUM('Bevételek(Műv.Ház 2023)'!G14)</f>
        <v>0</v>
      </c>
      <c r="H14" s="156">
        <f>SUM('Bevételek(Műv.Ház 2023)'!H14/1000)</f>
        <v>1597.3679999999999</v>
      </c>
      <c r="I14" s="480"/>
      <c r="J14" s="136"/>
      <c r="K14" s="152"/>
      <c r="L14" s="152"/>
      <c r="M14" s="152"/>
      <c r="N14" s="481"/>
      <c r="O14" s="280"/>
      <c r="P14" s="229"/>
      <c r="Q14" s="27"/>
      <c r="R14" s="27"/>
    </row>
    <row r="15" spans="1:18" ht="20.100000000000001" customHeight="1" thickBot="1" x14ac:dyDescent="0.3">
      <c r="A15" s="308" t="s">
        <v>56</v>
      </c>
      <c r="B15" s="309" t="s">
        <v>166</v>
      </c>
      <c r="C15" s="156">
        <f>SUM('Bevételek(Műv.Ház 2023)'!C15/1000)</f>
        <v>0</v>
      </c>
      <c r="D15" s="156">
        <v>494</v>
      </c>
      <c r="E15" s="156">
        <f>SUM('Bevételek(Műv.Ház 2023)'!E15/1000)</f>
        <v>335.92</v>
      </c>
      <c r="F15" s="156">
        <f>SUM('Bevételek(Műv.Ház 2023)'!F15/1000)</f>
        <v>0</v>
      </c>
      <c r="G15" s="280">
        <f t="shared" si="0"/>
        <v>100</v>
      </c>
      <c r="H15" s="141">
        <f>SUM('Bevételek(Műv.Ház 2023)'!H15/1000)</f>
        <v>494</v>
      </c>
      <c r="I15" s="254"/>
      <c r="J15" s="255"/>
      <c r="K15" s="256"/>
      <c r="L15" s="256"/>
      <c r="M15" s="256"/>
      <c r="N15" s="310"/>
      <c r="O15" s="479"/>
      <c r="P15" s="257"/>
      <c r="Q15" s="27"/>
      <c r="R15" s="27"/>
    </row>
    <row r="16" spans="1:18" ht="20.100000000000001" customHeight="1" thickBot="1" x14ac:dyDescent="0.25">
      <c r="A16" s="264"/>
      <c r="B16" s="265" t="s">
        <v>78</v>
      </c>
      <c r="C16" s="266">
        <f>SUM(C10:C13)</f>
        <v>22130.631000000001</v>
      </c>
      <c r="D16" s="266">
        <f>SUM(D9:D15)</f>
        <v>22624.631000000001</v>
      </c>
      <c r="E16" s="266">
        <f t="shared" ref="E16" si="1">SUM(E10:E13)</f>
        <v>14986.421</v>
      </c>
      <c r="F16" s="266">
        <f>SUM(F9:F15)</f>
        <v>200</v>
      </c>
      <c r="G16" s="282">
        <f>H16/D16*100</f>
        <v>100.88399231792995</v>
      </c>
      <c r="H16" s="267">
        <f>SUM(H9:H15)</f>
        <v>22824.630999999998</v>
      </c>
      <c r="I16" s="145"/>
      <c r="J16" s="146" t="s">
        <v>45</v>
      </c>
      <c r="K16" s="153">
        <f>SUM(K9:K13)</f>
        <v>22049</v>
      </c>
      <c r="L16" s="153">
        <f t="shared" ref="L16:N16" si="2">SUM(L9:L13)</f>
        <v>22543</v>
      </c>
      <c r="M16" s="153">
        <f t="shared" si="2"/>
        <v>14394.793</v>
      </c>
      <c r="N16" s="153">
        <f t="shared" si="2"/>
        <v>200</v>
      </c>
      <c r="O16" s="147">
        <f>P16/L16*100</f>
        <v>100.88719336379364</v>
      </c>
      <c r="P16" s="144">
        <f>SUM(P9:P13)</f>
        <v>22743</v>
      </c>
      <c r="Q16" s="22"/>
      <c r="R16" s="22"/>
    </row>
    <row r="17" spans="1:18" ht="20.100000000000001" customHeight="1" x14ac:dyDescent="0.2">
      <c r="A17" s="268" t="s">
        <v>55</v>
      </c>
      <c r="B17" s="269" t="s">
        <v>46</v>
      </c>
      <c r="C17" s="270">
        <f>SUM('Bevételek(Műv.Ház 2023)'!C10/1000)</f>
        <v>172.369</v>
      </c>
      <c r="D17" s="270">
        <v>172.369</v>
      </c>
      <c r="E17" s="270">
        <f>SUM('Bevételek(Műv.Ház 2023)'!E10/1000)</f>
        <v>172.369</v>
      </c>
      <c r="F17" s="270">
        <f>SUM('Bevételek(Műv.Ház 2023)'!F10/1000)</f>
        <v>0</v>
      </c>
      <c r="G17" s="282">
        <f>H17/D17*100</f>
        <v>100</v>
      </c>
      <c r="H17" s="271">
        <f>SUM('Bevételek(Műv.Ház 2023)'!H10/1000)</f>
        <v>172.369</v>
      </c>
      <c r="I17" s="263" t="s">
        <v>132</v>
      </c>
      <c r="J17" s="226" t="s">
        <v>133</v>
      </c>
      <c r="K17" s="226">
        <v>0</v>
      </c>
      <c r="L17" s="226">
        <v>0</v>
      </c>
      <c r="M17" s="226">
        <v>0</v>
      </c>
      <c r="N17" s="226">
        <v>0</v>
      </c>
      <c r="O17" s="275">
        <v>0</v>
      </c>
      <c r="P17" s="258">
        <v>0</v>
      </c>
      <c r="Q17" s="22"/>
      <c r="R17" s="22"/>
    </row>
    <row r="18" spans="1:18" ht="20.100000000000001" customHeight="1" thickBot="1" x14ac:dyDescent="0.25">
      <c r="A18" s="272"/>
      <c r="B18" s="273"/>
      <c r="C18" s="273"/>
      <c r="D18" s="273"/>
      <c r="E18" s="273"/>
      <c r="F18" s="273"/>
      <c r="G18" s="273"/>
      <c r="H18" s="274"/>
      <c r="I18" s="259" t="s">
        <v>108</v>
      </c>
      <c r="J18" s="255" t="s">
        <v>109</v>
      </c>
      <c r="K18" s="256">
        <f>SUM('Kiadások(Műv.Ház 2023)'!C35/1000)</f>
        <v>254</v>
      </c>
      <c r="L18" s="256">
        <f>SUM('Kiadások(Műv.Ház 2023)'!D35/1000)</f>
        <v>254</v>
      </c>
      <c r="M18" s="256">
        <f>SUM('Kiadások(Műv.Ház 2023)'!E35/1000)</f>
        <v>0</v>
      </c>
      <c r="N18" s="256">
        <f>SUM('Kiadások(Műv.Ház 2023)'!F35/1000)</f>
        <v>0</v>
      </c>
      <c r="O18" s="276">
        <f>SUM(P18/L18*100)</f>
        <v>100</v>
      </c>
      <c r="P18" s="257">
        <f>('Kiadások(Műv.Ház 2023)'!H34+'Kiadások(Műv.Ház 2023)'!H33)/1000</f>
        <v>254</v>
      </c>
      <c r="Q18" s="22"/>
      <c r="R18" s="22"/>
    </row>
    <row r="19" spans="1:18" ht="21.75" customHeight="1" thickBot="1" x14ac:dyDescent="0.25">
      <c r="A19" s="357" t="s">
        <v>47</v>
      </c>
      <c r="B19" s="358"/>
      <c r="C19" s="260">
        <f>SUM(C16:C17)</f>
        <v>22303</v>
      </c>
      <c r="D19" s="260">
        <f t="shared" ref="D19:E19" si="3">SUM(D16:D17)</f>
        <v>22797</v>
      </c>
      <c r="E19" s="260">
        <f t="shared" si="3"/>
        <v>15158.79</v>
      </c>
      <c r="F19" s="260">
        <f>SUM(F16:F17)</f>
        <v>200</v>
      </c>
      <c r="G19" s="261">
        <f>H19/C19*100</f>
        <v>103.11168901044701</v>
      </c>
      <c r="H19" s="262">
        <f>SUM(H16:H17)</f>
        <v>22996.999999999996</v>
      </c>
      <c r="I19" s="359" t="s">
        <v>47</v>
      </c>
      <c r="J19" s="360"/>
      <c r="K19" s="288">
        <f>SUM(K16:K18)</f>
        <v>22303</v>
      </c>
      <c r="L19" s="288">
        <f t="shared" ref="L19:N19" si="4">SUM(L16:L18)</f>
        <v>22797</v>
      </c>
      <c r="M19" s="288">
        <f t="shared" si="4"/>
        <v>14394.793</v>
      </c>
      <c r="N19" s="288">
        <f t="shared" si="4"/>
        <v>200</v>
      </c>
      <c r="O19" s="349">
        <f>P19/L19*100</f>
        <v>100.87730841777427</v>
      </c>
      <c r="P19" s="348">
        <f>SUM(P16:P18)</f>
        <v>22997</v>
      </c>
      <c r="Q19" s="22"/>
      <c r="R19" s="22"/>
    </row>
    <row r="22" spans="1:18" ht="15.75" x14ac:dyDescent="0.25">
      <c r="F22" s="28"/>
      <c r="G22" s="28"/>
      <c r="H22" s="28"/>
    </row>
    <row r="23" spans="1:18" ht="15.75" x14ac:dyDescent="0.25">
      <c r="F23" s="28"/>
      <c r="G23" s="28"/>
      <c r="H23" s="28"/>
      <c r="K23" s="231"/>
      <c r="L23" s="231"/>
      <c r="M23" s="231"/>
    </row>
    <row r="24" spans="1:18" ht="15.75" x14ac:dyDescent="0.25">
      <c r="F24" s="29"/>
      <c r="G24" s="29"/>
      <c r="H24" s="29"/>
    </row>
    <row r="25" spans="1:18" ht="15.75" x14ac:dyDescent="0.25">
      <c r="F25" s="28"/>
      <c r="G25" s="28"/>
      <c r="H25" s="28"/>
    </row>
    <row r="26" spans="1:18" ht="15.75" x14ac:dyDescent="0.25">
      <c r="B26" s="30"/>
      <c r="C26" s="30"/>
      <c r="D26" s="30"/>
      <c r="E26" s="30"/>
      <c r="F26" s="31"/>
      <c r="G26" s="31"/>
      <c r="H26" s="31"/>
      <c r="I26" s="30"/>
      <c r="J26" s="30"/>
      <c r="K26" s="30"/>
      <c r="L26" s="30"/>
      <c r="M26" s="30"/>
    </row>
    <row r="27" spans="1:18" x14ac:dyDescent="0.2">
      <c r="B27" s="30"/>
      <c r="C27" s="30"/>
      <c r="D27" s="30"/>
      <c r="E27" s="30"/>
      <c r="F27" s="30"/>
      <c r="G27" s="30"/>
      <c r="H27" s="32"/>
      <c r="I27" s="30"/>
      <c r="J27" s="30"/>
      <c r="K27" s="30"/>
      <c r="L27" s="30"/>
      <c r="M27" s="30"/>
    </row>
    <row r="28" spans="1:18" x14ac:dyDescent="0.2">
      <c r="B28" s="30"/>
      <c r="C28" s="30"/>
      <c r="D28" s="30"/>
      <c r="E28" s="30"/>
      <c r="F28" s="30"/>
      <c r="G28" s="30"/>
      <c r="H28" s="32"/>
      <c r="I28" s="30"/>
      <c r="J28" s="30"/>
      <c r="K28" s="30"/>
      <c r="L28" s="30"/>
      <c r="M28" s="30"/>
    </row>
    <row r="29" spans="1:18" x14ac:dyDescent="0.2">
      <c r="B29" s="30"/>
      <c r="C29" s="30"/>
      <c r="D29" s="30"/>
      <c r="E29" s="30"/>
      <c r="F29" s="30"/>
      <c r="G29" s="30"/>
      <c r="H29" s="15"/>
      <c r="I29" s="30"/>
      <c r="J29" s="30"/>
      <c r="K29" s="30"/>
      <c r="L29" s="30"/>
      <c r="M29" s="30"/>
    </row>
    <row r="30" spans="1:18" x14ac:dyDescent="0.2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P30" s="231"/>
    </row>
  </sheetData>
  <sheetProtection algorithmName="SHA-512" hashValue="mW+3fPO2vuIuIKebH/x31ZR/O/dlaYJdr4THIuKkja4kgqWazvEfBvcOFuzztEjp3TT2b/VEv9i68tBOY2Yj7g==" saltValue="/EFO3eMSUxTFbDauaPZR9w==" spinCount="100000" sheet="1" objects="1" scenarios="1"/>
  <mergeCells count="10">
    <mergeCell ref="N1:P1"/>
    <mergeCell ref="A8:B8"/>
    <mergeCell ref="I8:J8"/>
    <mergeCell ref="A19:B19"/>
    <mergeCell ref="I19:J19"/>
    <mergeCell ref="B2:P2"/>
    <mergeCell ref="B3:P3"/>
    <mergeCell ref="B5:P5"/>
    <mergeCell ref="A7:H7"/>
    <mergeCell ref="I7:P7"/>
  </mergeCells>
  <phoneticPr fontId="6" type="noConversion"/>
  <pageMargins left="0.59055118110236227" right="0.59055118110236227" top="0.98425196850393704" bottom="0.59055118110236227" header="0.51181102362204722" footer="0.51181102362204722"/>
  <pageSetup paperSize="9" scale="94" orientation="landscape" r:id="rId1"/>
  <headerFooter alignWithMargins="0">
    <oddHeader>&amp;LKálmánfi Béla Művelődési Ház és Könyvtár&amp;RIII/1. számú melléklet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"/>
  <sheetViews>
    <sheetView showGridLines="0" zoomScaleNormal="100" workbookViewId="0">
      <selection activeCell="B13" sqref="B13"/>
    </sheetView>
  </sheetViews>
  <sheetFormatPr defaultRowHeight="12.75" x14ac:dyDescent="0.2"/>
  <cols>
    <col min="1" max="1" width="12.28515625" customWidth="1"/>
    <col min="2" max="2" width="30.5703125" customWidth="1"/>
    <col min="3" max="5" width="12.85546875" customWidth="1"/>
    <col min="6" max="6" width="11.7109375" customWidth="1"/>
    <col min="7" max="7" width="11.42578125" customWidth="1"/>
    <col min="8" max="8" width="12.28515625" customWidth="1"/>
  </cols>
  <sheetData>
    <row r="1" spans="1:8" x14ac:dyDescent="0.2">
      <c r="G1" s="5"/>
      <c r="H1" s="5"/>
    </row>
    <row r="2" spans="1:8" x14ac:dyDescent="0.2">
      <c r="A2" s="371" t="s">
        <v>170</v>
      </c>
      <c r="B2" s="371"/>
      <c r="C2" s="371"/>
      <c r="D2" s="371"/>
      <c r="E2" s="371"/>
      <c r="F2" s="371"/>
      <c r="G2" s="371"/>
      <c r="H2" s="371"/>
    </row>
    <row r="3" spans="1:8" x14ac:dyDescent="0.2">
      <c r="A3" s="371" t="s">
        <v>116</v>
      </c>
      <c r="B3" s="371"/>
      <c r="C3" s="371"/>
      <c r="D3" s="371"/>
      <c r="E3" s="371"/>
      <c r="F3" s="371"/>
      <c r="G3" s="371"/>
      <c r="H3" s="371"/>
    </row>
    <row r="4" spans="1:8" x14ac:dyDescent="0.2">
      <c r="A4" s="68"/>
      <c r="B4" s="68"/>
      <c r="C4" s="68"/>
      <c r="D4" s="68"/>
      <c r="E4" s="68"/>
      <c r="F4" s="68"/>
      <c r="G4" s="68"/>
      <c r="H4" s="69" t="s">
        <v>49</v>
      </c>
    </row>
    <row r="5" spans="1:8" ht="24" customHeight="1" thickBot="1" x14ac:dyDescent="0.25">
      <c r="A5" s="372" t="s">
        <v>34</v>
      </c>
      <c r="B5" s="372"/>
      <c r="C5" s="372"/>
      <c r="D5" s="372"/>
      <c r="E5" s="372"/>
      <c r="F5" s="372"/>
      <c r="G5" s="372"/>
      <c r="H5" s="372"/>
    </row>
    <row r="6" spans="1:8" ht="18.75" customHeight="1" x14ac:dyDescent="0.2">
      <c r="A6" s="373" t="s">
        <v>0</v>
      </c>
      <c r="B6" s="375" t="s">
        <v>18</v>
      </c>
      <c r="C6" s="377">
        <v>2023</v>
      </c>
      <c r="D6" s="378"/>
      <c r="E6" s="378"/>
      <c r="F6" s="378"/>
      <c r="G6" s="378"/>
      <c r="H6" s="379"/>
    </row>
    <row r="7" spans="1:8" ht="36.75" customHeight="1" thickBot="1" x14ac:dyDescent="0.25">
      <c r="A7" s="374"/>
      <c r="B7" s="376"/>
      <c r="C7" s="70" t="s">
        <v>59</v>
      </c>
      <c r="D7" s="70" t="s">
        <v>161</v>
      </c>
      <c r="E7" s="345" t="s">
        <v>168</v>
      </c>
      <c r="F7" s="70" t="s">
        <v>113</v>
      </c>
      <c r="G7" s="70" t="s">
        <v>58</v>
      </c>
      <c r="H7" s="71" t="s">
        <v>167</v>
      </c>
    </row>
    <row r="8" spans="1:8" ht="24.95" customHeight="1" x14ac:dyDescent="0.2">
      <c r="A8" s="84" t="s">
        <v>101</v>
      </c>
      <c r="B8" s="85" t="s">
        <v>102</v>
      </c>
      <c r="C8" s="86">
        <f>SUM('Bevételek COFOG'!C19)</f>
        <v>600000</v>
      </c>
      <c r="D8" s="86">
        <v>1000000</v>
      </c>
      <c r="E8" s="86">
        <f>SUM('Bevételek COFOG'!E19)</f>
        <v>934000</v>
      </c>
      <c r="F8" s="86">
        <f>SUM(H8-D8)</f>
        <v>200000</v>
      </c>
      <c r="G8" s="304">
        <f t="shared" ref="G8:G12" si="0">H8/D8*100</f>
        <v>120</v>
      </c>
      <c r="H8" s="87">
        <f>'Bevételek COFOG'!H19</f>
        <v>1200000</v>
      </c>
    </row>
    <row r="9" spans="1:8" ht="24.95" customHeight="1" x14ac:dyDescent="0.2">
      <c r="A9" s="72" t="s">
        <v>62</v>
      </c>
      <c r="B9" s="73" t="s">
        <v>63</v>
      </c>
      <c r="C9" s="83">
        <f>SUM('Bevételek COFOG'!C20)</f>
        <v>3000</v>
      </c>
      <c r="D9" s="83">
        <v>3000</v>
      </c>
      <c r="E9" s="83">
        <f>SUM('Bevételek COFOG'!E20)</f>
        <v>1817</v>
      </c>
      <c r="F9" s="86">
        <f t="shared" ref="F9:F10" si="1">SUM(H9-C9)</f>
        <v>0</v>
      </c>
      <c r="G9" s="304">
        <f t="shared" si="0"/>
        <v>100</v>
      </c>
      <c r="H9" s="88">
        <f>'Bevételek COFOG'!H20</f>
        <v>3000</v>
      </c>
    </row>
    <row r="10" spans="1:8" ht="24.95" customHeight="1" x14ac:dyDescent="0.2">
      <c r="A10" s="72" t="s">
        <v>2</v>
      </c>
      <c r="B10" s="73" t="s">
        <v>19</v>
      </c>
      <c r="C10" s="83">
        <f>SUM('Bevételek COFOG'!C9)</f>
        <v>172369</v>
      </c>
      <c r="D10" s="83">
        <v>172369</v>
      </c>
      <c r="E10" s="83">
        <f>SUM('Bevételek COFOG'!E9)</f>
        <v>172369</v>
      </c>
      <c r="F10" s="86">
        <f t="shared" si="1"/>
        <v>0</v>
      </c>
      <c r="G10" s="304">
        <f t="shared" si="0"/>
        <v>100</v>
      </c>
      <c r="H10" s="76">
        <f>'Bevételek COFOG'!H9</f>
        <v>172369</v>
      </c>
    </row>
    <row r="11" spans="1:8" ht="24.95" customHeight="1" x14ac:dyDescent="0.2">
      <c r="A11" s="367" t="s">
        <v>3</v>
      </c>
      <c r="B11" s="77" t="s">
        <v>20</v>
      </c>
      <c r="C11" s="157">
        <f>SUM(C12:C13)</f>
        <v>21527631</v>
      </c>
      <c r="D11" s="157">
        <v>21621631</v>
      </c>
      <c r="E11" s="157">
        <f>SUM(E12:E15)</f>
        <v>15600520</v>
      </c>
      <c r="F11" s="86">
        <f>SUM(H11-D11)</f>
        <v>0</v>
      </c>
      <c r="G11" s="304">
        <f t="shared" si="0"/>
        <v>100</v>
      </c>
      <c r="H11" s="78">
        <f>'Bevételek COFOG'!H10</f>
        <v>21621631</v>
      </c>
    </row>
    <row r="12" spans="1:8" x14ac:dyDescent="0.2">
      <c r="A12" s="368"/>
      <c r="B12" s="79" t="s">
        <v>57</v>
      </c>
      <c r="C12" s="158">
        <f>SUM('Bevételek COFOG'!C11)</f>
        <v>5800273</v>
      </c>
      <c r="D12" s="158">
        <v>5800273</v>
      </c>
      <c r="E12" s="158">
        <f>SUM('Bevételek COFOG'!E11)</f>
        <v>5800273</v>
      </c>
      <c r="F12" s="86">
        <f>SUM(H12-D12)</f>
        <v>0</v>
      </c>
      <c r="G12" s="304">
        <f t="shared" si="0"/>
        <v>100</v>
      </c>
      <c r="H12" s="80">
        <f>'Bevételek COFOG'!H11</f>
        <v>5800273</v>
      </c>
    </row>
    <row r="13" spans="1:8" ht="21" x14ac:dyDescent="0.2">
      <c r="A13" s="368"/>
      <c r="B13" s="79" t="s">
        <v>100</v>
      </c>
      <c r="C13" s="158">
        <f>SUM('Bevételek COFOG'!C12)</f>
        <v>15727358</v>
      </c>
      <c r="D13" s="158">
        <v>15327358</v>
      </c>
      <c r="E13" s="158">
        <f>SUM('Bevételek COFOG'!E12)</f>
        <v>8250331</v>
      </c>
      <c r="F13" s="305">
        <f>SUM(H13-D13)</f>
        <v>-1597368</v>
      </c>
      <c r="G13" s="304">
        <f>H13/D13*100</f>
        <v>89.578321325827972</v>
      </c>
      <c r="H13" s="80">
        <f>'Bevételek COFOG'!H12</f>
        <v>13729990</v>
      </c>
    </row>
    <row r="14" spans="1:8" x14ac:dyDescent="0.2">
      <c r="A14" s="299"/>
      <c r="B14" s="79" t="s">
        <v>172</v>
      </c>
      <c r="C14" s="478">
        <f>SUM('Bevételek COFOG'!C13)</f>
        <v>0</v>
      </c>
      <c r="D14" s="478">
        <f>SUM('Bevételek COFOG'!D13)</f>
        <v>0</v>
      </c>
      <c r="E14" s="478">
        <f>SUM('Bevételek COFOG'!E13)</f>
        <v>1213996</v>
      </c>
      <c r="F14" s="478">
        <f>SUM('Bevételek COFOG'!F13)</f>
        <v>1597368</v>
      </c>
      <c r="G14" s="304">
        <v>0</v>
      </c>
      <c r="H14" s="158">
        <f>SUM('Bevételek COFOG'!H13)</f>
        <v>1597368</v>
      </c>
    </row>
    <row r="15" spans="1:8" ht="13.5" thickBot="1" x14ac:dyDescent="0.25">
      <c r="A15" s="299"/>
      <c r="B15" s="300" t="s">
        <v>165</v>
      </c>
      <c r="C15" s="307">
        <f>SUM('Bevételek COFOG'!C14)</f>
        <v>0</v>
      </c>
      <c r="D15" s="307">
        <v>494000</v>
      </c>
      <c r="E15" s="307">
        <f>SUM('Bevételek COFOG'!E14)</f>
        <v>335920</v>
      </c>
      <c r="F15" s="307">
        <f>SUM('Bevételek COFOG'!F14)</f>
        <v>0</v>
      </c>
      <c r="G15" s="304">
        <v>0</v>
      </c>
      <c r="H15" s="306">
        <f>SUM('Bevételek COFOG'!H14)</f>
        <v>494000</v>
      </c>
    </row>
    <row r="16" spans="1:8" ht="26.25" customHeight="1" thickBot="1" x14ac:dyDescent="0.25">
      <c r="A16" s="369" t="s">
        <v>106</v>
      </c>
      <c r="B16" s="370"/>
      <c r="C16" s="159">
        <f>SUM(C8:C11)</f>
        <v>22303000</v>
      </c>
      <c r="D16" s="159">
        <f t="shared" ref="D16:E16" si="2">SUM(D8:D11)</f>
        <v>22797000</v>
      </c>
      <c r="E16" s="159">
        <f t="shared" si="2"/>
        <v>16708706</v>
      </c>
      <c r="F16" s="159">
        <f t="shared" ref="F16" si="3">SUM(F8:F11)</f>
        <v>200000</v>
      </c>
      <c r="G16" s="92">
        <f>H16/D16*100</f>
        <v>100.87730841777427</v>
      </c>
      <c r="H16" s="81">
        <f>SUM(H8:H11)</f>
        <v>22997000</v>
      </c>
    </row>
    <row r="17" spans="1:8" ht="24.95" customHeight="1" x14ac:dyDescent="0.2">
      <c r="A17" s="89"/>
      <c r="B17" s="89"/>
      <c r="C17" s="89"/>
      <c r="D17" s="89"/>
      <c r="E17" s="89"/>
      <c r="F17" s="90"/>
      <c r="G17" s="91"/>
      <c r="H17" s="90"/>
    </row>
    <row r="18" spans="1:8" x14ac:dyDescent="0.2">
      <c r="A18" s="44" t="s">
        <v>115</v>
      </c>
      <c r="B18" s="44"/>
      <c r="C18" s="186">
        <f>C16-'Bevételek COFOG'!C23</f>
        <v>0</v>
      </c>
      <c r="D18" s="186">
        <f>D16-'Bevételek COFOG'!D23</f>
        <v>0</v>
      </c>
      <c r="E18" s="186">
        <f>E16-'Bevételek COFOG'!E23</f>
        <v>0</v>
      </c>
      <c r="F18" s="186">
        <f>F16-'Bevételek COFOG'!F23</f>
        <v>0</v>
      </c>
      <c r="G18" s="186">
        <f>G16-'Bevételek COFOG'!G23</f>
        <v>0</v>
      </c>
      <c r="H18" s="186">
        <f>H16-'Bevételek COFOG'!H23</f>
        <v>0</v>
      </c>
    </row>
  </sheetData>
  <sheetProtection algorithmName="SHA-512" hashValue="fLooG+NXuZrfRjYy6tlSCIQhjoTBsuFYpsIcSMlYJaNracsUIvIIJ1kaQbVLjxBojzBo2EoqEmJNsMWfwUW/7Q==" saltValue="jrcroAIS4yQ3P+KZedFBCA==" spinCount="100000" sheet="1" objects="1" scenarios="1"/>
  <mergeCells count="8">
    <mergeCell ref="A11:A13"/>
    <mergeCell ref="A16:B16"/>
    <mergeCell ref="A2:H2"/>
    <mergeCell ref="A3:H3"/>
    <mergeCell ref="A5:H5"/>
    <mergeCell ref="A6:A7"/>
    <mergeCell ref="B6:B7"/>
    <mergeCell ref="C6:H6"/>
  </mergeCells>
  <pageMargins left="0.98425196850393704" right="0.59055118110236227" top="0.59055118110236227" bottom="0.59055118110236227" header="0.51181102362204722" footer="0.51181102362204722"/>
  <pageSetup paperSize="9" scale="88" orientation="portrait" r:id="rId1"/>
  <headerFooter alignWithMargins="0">
    <oddHeader>&amp;LKálmánfi Béla Művelődési Ház és Könyvtár&amp;RIII/2. számú melléklet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showGridLines="0" zoomScaleNormal="100" workbookViewId="0">
      <selection activeCell="B13" sqref="B13"/>
    </sheetView>
  </sheetViews>
  <sheetFormatPr defaultRowHeight="12.75" x14ac:dyDescent="0.2"/>
  <cols>
    <col min="1" max="1" width="12.28515625" customWidth="1"/>
    <col min="2" max="2" width="32.28515625" customWidth="1"/>
    <col min="3" max="5" width="12.85546875" customWidth="1"/>
    <col min="6" max="6" width="11.7109375" customWidth="1"/>
    <col min="7" max="7" width="5.7109375" customWidth="1"/>
    <col min="8" max="8" width="12.28515625" customWidth="1"/>
  </cols>
  <sheetData>
    <row r="1" spans="1:8" x14ac:dyDescent="0.2">
      <c r="G1" s="5"/>
      <c r="H1" s="5"/>
    </row>
    <row r="2" spans="1:8" x14ac:dyDescent="0.2">
      <c r="A2" s="371" t="s">
        <v>170</v>
      </c>
      <c r="B2" s="371"/>
      <c r="C2" s="371"/>
      <c r="D2" s="371"/>
      <c r="E2" s="371"/>
      <c r="F2" s="371"/>
      <c r="G2" s="371"/>
      <c r="H2" s="371"/>
    </row>
    <row r="3" spans="1:8" x14ac:dyDescent="0.2">
      <c r="A3" s="371" t="s">
        <v>116</v>
      </c>
      <c r="B3" s="371"/>
      <c r="C3" s="371"/>
      <c r="D3" s="371"/>
      <c r="E3" s="371"/>
      <c r="F3" s="371"/>
      <c r="G3" s="371"/>
      <c r="H3" s="371"/>
    </row>
    <row r="4" spans="1:8" x14ac:dyDescent="0.2">
      <c r="A4" s="68"/>
      <c r="B4" s="68"/>
      <c r="C4" s="68"/>
      <c r="D4" s="68"/>
      <c r="E4" s="68"/>
      <c r="F4" s="68"/>
      <c r="G4" s="68"/>
      <c r="H4" s="69" t="s">
        <v>49</v>
      </c>
    </row>
    <row r="5" spans="1:8" ht="24" customHeight="1" thickBot="1" x14ac:dyDescent="0.25">
      <c r="A5" s="372" t="s">
        <v>99</v>
      </c>
      <c r="B5" s="372"/>
      <c r="C5" s="372"/>
      <c r="D5" s="372"/>
      <c r="E5" s="372"/>
      <c r="F5" s="372"/>
      <c r="G5" s="372"/>
      <c r="H5" s="372"/>
    </row>
    <row r="6" spans="1:8" ht="18" customHeight="1" x14ac:dyDescent="0.2">
      <c r="A6" s="380" t="s">
        <v>96</v>
      </c>
      <c r="B6" s="381"/>
      <c r="C6" s="381"/>
      <c r="D6" s="381"/>
      <c r="E6" s="381"/>
      <c r="F6" s="381"/>
      <c r="G6" s="381"/>
      <c r="H6" s="382"/>
    </row>
    <row r="7" spans="1:8" ht="18.75" customHeight="1" x14ac:dyDescent="0.2">
      <c r="A7" s="383" t="s">
        <v>0</v>
      </c>
      <c r="B7" s="384" t="s">
        <v>18</v>
      </c>
      <c r="C7" s="385">
        <v>2023</v>
      </c>
      <c r="D7" s="386"/>
      <c r="E7" s="386"/>
      <c r="F7" s="386"/>
      <c r="G7" s="386"/>
      <c r="H7" s="387"/>
    </row>
    <row r="8" spans="1:8" ht="36.75" customHeight="1" thickBot="1" x14ac:dyDescent="0.25">
      <c r="A8" s="374"/>
      <c r="B8" s="376"/>
      <c r="C8" s="70" t="s">
        <v>59</v>
      </c>
      <c r="D8" s="70" t="s">
        <v>161</v>
      </c>
      <c r="E8" s="70" t="s">
        <v>168</v>
      </c>
      <c r="F8" s="70" t="s">
        <v>113</v>
      </c>
      <c r="G8" s="70" t="s">
        <v>58</v>
      </c>
      <c r="H8" s="71" t="s">
        <v>167</v>
      </c>
    </row>
    <row r="9" spans="1:8" ht="24.95" customHeight="1" x14ac:dyDescent="0.2">
      <c r="A9" s="72" t="s">
        <v>2</v>
      </c>
      <c r="B9" s="73" t="s">
        <v>19</v>
      </c>
      <c r="C9" s="83">
        <v>172369</v>
      </c>
      <c r="D9" s="83">
        <v>172369</v>
      </c>
      <c r="E9" s="83">
        <v>172369</v>
      </c>
      <c r="F9" s="74">
        <f>H9-C9</f>
        <v>0</v>
      </c>
      <c r="G9" s="75">
        <f>H9/D9*100</f>
        <v>100</v>
      </c>
      <c r="H9" s="76">
        <v>172369</v>
      </c>
    </row>
    <row r="10" spans="1:8" ht="24.95" customHeight="1" x14ac:dyDescent="0.2">
      <c r="A10" s="367" t="s">
        <v>3</v>
      </c>
      <c r="B10" s="77" t="s">
        <v>20</v>
      </c>
      <c r="C10" s="157">
        <v>21527631</v>
      </c>
      <c r="D10" s="320">
        <v>21621631</v>
      </c>
      <c r="E10" s="320">
        <f>SUM(E11:E14)</f>
        <v>15600520</v>
      </c>
      <c r="F10" s="74">
        <f>H10-D10</f>
        <v>0</v>
      </c>
      <c r="G10" s="75">
        <f>H10/D10*100</f>
        <v>100</v>
      </c>
      <c r="H10" s="78">
        <f>H11+H12+H14+H13</f>
        <v>21621631</v>
      </c>
    </row>
    <row r="11" spans="1:8" ht="24.95" customHeight="1" x14ac:dyDescent="0.2">
      <c r="A11" s="368"/>
      <c r="B11" s="79" t="s">
        <v>57</v>
      </c>
      <c r="C11" s="158">
        <v>5800273</v>
      </c>
      <c r="D11" s="319">
        <v>5800273</v>
      </c>
      <c r="E11" s="319">
        <v>5800273</v>
      </c>
      <c r="F11" s="74">
        <f t="shared" ref="F11" si="0">H11-C11</f>
        <v>0</v>
      </c>
      <c r="G11" s="75">
        <f t="shared" ref="G11:G14" si="1">H11/D11*100</f>
        <v>100</v>
      </c>
      <c r="H11" s="80">
        <v>5800273</v>
      </c>
    </row>
    <row r="12" spans="1:8" ht="24.95" customHeight="1" x14ac:dyDescent="0.2">
      <c r="A12" s="368"/>
      <c r="B12" s="79" t="s">
        <v>100</v>
      </c>
      <c r="C12" s="158">
        <v>15727358</v>
      </c>
      <c r="D12" s="158">
        <v>15327358</v>
      </c>
      <c r="E12" s="158">
        <v>8250331</v>
      </c>
      <c r="F12" s="303">
        <f>H12-D12</f>
        <v>-1597368</v>
      </c>
      <c r="G12" s="75">
        <f t="shared" si="1"/>
        <v>89.578321325827972</v>
      </c>
      <c r="H12" s="80">
        <v>13729990</v>
      </c>
    </row>
    <row r="13" spans="1:8" ht="24.95" customHeight="1" x14ac:dyDescent="0.2">
      <c r="A13" s="299"/>
      <c r="B13" s="79" t="s">
        <v>172</v>
      </c>
      <c r="C13" s="350">
        <v>0</v>
      </c>
      <c r="D13" s="350">
        <v>0</v>
      </c>
      <c r="E13" s="350">
        <v>1213996</v>
      </c>
      <c r="F13" s="303">
        <f>H13-D13</f>
        <v>1597368</v>
      </c>
      <c r="G13" s="75">
        <v>0</v>
      </c>
      <c r="H13" s="80">
        <v>1597368</v>
      </c>
    </row>
    <row r="14" spans="1:8" ht="24.95" customHeight="1" thickBot="1" x14ac:dyDescent="0.25">
      <c r="A14" s="299"/>
      <c r="B14" s="300" t="s">
        <v>164</v>
      </c>
      <c r="C14" s="301">
        <v>0</v>
      </c>
      <c r="D14" s="301">
        <v>494000</v>
      </c>
      <c r="E14" s="301">
        <v>335920</v>
      </c>
      <c r="F14" s="74">
        <f>H14-D14</f>
        <v>0</v>
      </c>
      <c r="G14" s="75">
        <f t="shared" si="1"/>
        <v>100</v>
      </c>
      <c r="H14" s="302">
        <v>494000</v>
      </c>
    </row>
    <row r="15" spans="1:8" ht="26.25" customHeight="1" thickBot="1" x14ac:dyDescent="0.25">
      <c r="A15" s="369" t="s">
        <v>64</v>
      </c>
      <c r="B15" s="370"/>
      <c r="C15" s="159">
        <f>SUM(C9:C10)</f>
        <v>21700000</v>
      </c>
      <c r="D15" s="159">
        <f t="shared" ref="D15:E15" si="2">SUM(D9:D10)</f>
        <v>21794000</v>
      </c>
      <c r="E15" s="159">
        <f t="shared" si="2"/>
        <v>15772889</v>
      </c>
      <c r="F15" s="159">
        <f t="shared" ref="F15" si="3">SUM(F9:F10)</f>
        <v>0</v>
      </c>
      <c r="G15" s="82">
        <f>H15/D15*100</f>
        <v>100</v>
      </c>
      <c r="H15" s="81">
        <f>SUM(H9:H10)</f>
        <v>21794000</v>
      </c>
    </row>
    <row r="16" spans="1:8" ht="19.5" customHeight="1" x14ac:dyDescent="0.2">
      <c r="A16" s="380" t="s">
        <v>97</v>
      </c>
      <c r="B16" s="381"/>
      <c r="C16" s="381"/>
      <c r="D16" s="381"/>
      <c r="E16" s="381"/>
      <c r="F16" s="381"/>
      <c r="G16" s="381"/>
      <c r="H16" s="382"/>
    </row>
    <row r="17" spans="1:8" ht="21.75" customHeight="1" x14ac:dyDescent="0.2">
      <c r="A17" s="383" t="s">
        <v>0</v>
      </c>
      <c r="B17" s="384" t="s">
        <v>18</v>
      </c>
      <c r="C17" s="385">
        <v>2023</v>
      </c>
      <c r="D17" s="386"/>
      <c r="E17" s="386"/>
      <c r="F17" s="386"/>
      <c r="G17" s="386"/>
      <c r="H17" s="387"/>
    </row>
    <row r="18" spans="1:8" ht="36" customHeight="1" thickBot="1" x14ac:dyDescent="0.25">
      <c r="A18" s="374"/>
      <c r="B18" s="376"/>
      <c r="C18" s="70" t="s">
        <v>59</v>
      </c>
      <c r="D18" s="70" t="s">
        <v>161</v>
      </c>
      <c r="E18" s="70" t="s">
        <v>168</v>
      </c>
      <c r="F18" s="70" t="s">
        <v>113</v>
      </c>
      <c r="G18" s="70" t="s">
        <v>58</v>
      </c>
      <c r="H18" s="71" t="s">
        <v>167</v>
      </c>
    </row>
    <row r="19" spans="1:8" ht="24.95" customHeight="1" x14ac:dyDescent="0.2">
      <c r="A19" s="84" t="s">
        <v>101</v>
      </c>
      <c r="B19" s="85" t="s">
        <v>102</v>
      </c>
      <c r="C19" s="86">
        <v>600000</v>
      </c>
      <c r="D19" s="86">
        <v>1000000</v>
      </c>
      <c r="E19" s="86">
        <v>934000</v>
      </c>
      <c r="F19" s="83">
        <f>H19-D19</f>
        <v>200000</v>
      </c>
      <c r="G19" s="75">
        <f>H19/D19*100</f>
        <v>120</v>
      </c>
      <c r="H19" s="87">
        <v>1200000</v>
      </c>
    </row>
    <row r="20" spans="1:8" ht="24.95" customHeight="1" thickBot="1" x14ac:dyDescent="0.25">
      <c r="A20" s="72" t="s">
        <v>62</v>
      </c>
      <c r="B20" s="73" t="s">
        <v>63</v>
      </c>
      <c r="C20" s="83">
        <v>3000</v>
      </c>
      <c r="D20" s="83">
        <v>3000</v>
      </c>
      <c r="E20" s="83">
        <v>1817</v>
      </c>
      <c r="F20" s="83">
        <f>H20-C20</f>
        <v>0</v>
      </c>
      <c r="G20" s="75">
        <f>H20/D20*100</f>
        <v>100</v>
      </c>
      <c r="H20" s="88">
        <v>3000</v>
      </c>
    </row>
    <row r="21" spans="1:8" ht="24.95" customHeight="1" thickBot="1" x14ac:dyDescent="0.25">
      <c r="A21" s="369" t="s">
        <v>64</v>
      </c>
      <c r="B21" s="370"/>
      <c r="C21" s="159">
        <f>SUM(C19:C20)</f>
        <v>603000</v>
      </c>
      <c r="D21" s="159">
        <f t="shared" ref="D21:E21" si="4">SUM(D19:D20)</f>
        <v>1003000</v>
      </c>
      <c r="E21" s="159">
        <f t="shared" si="4"/>
        <v>935817</v>
      </c>
      <c r="F21" s="159">
        <f t="shared" ref="F21" si="5">SUM(F19:F20)</f>
        <v>200000</v>
      </c>
      <c r="G21" s="82">
        <f>H21/D21*100</f>
        <v>119.94017946161514</v>
      </c>
      <c r="H21" s="81">
        <f>SUM(H19:H20)</f>
        <v>1203000</v>
      </c>
    </row>
    <row r="22" spans="1:8" ht="24.95" customHeight="1" thickBot="1" x14ac:dyDescent="0.25">
      <c r="A22" s="89"/>
      <c r="B22" s="89"/>
      <c r="C22" s="89"/>
      <c r="D22" s="89"/>
      <c r="E22" s="89"/>
      <c r="F22" s="90"/>
      <c r="G22" s="91"/>
      <c r="H22" s="90"/>
    </row>
    <row r="23" spans="1:8" ht="26.25" customHeight="1" thickBot="1" x14ac:dyDescent="0.25">
      <c r="A23" s="369" t="s">
        <v>65</v>
      </c>
      <c r="B23" s="370"/>
      <c r="C23" s="81">
        <f>SUM(C15+C21)</f>
        <v>22303000</v>
      </c>
      <c r="D23" s="81">
        <f>SUM(D15+D21)</f>
        <v>22797000</v>
      </c>
      <c r="E23" s="81">
        <f>SUM(E15+E21)</f>
        <v>16708706</v>
      </c>
      <c r="F23" s="81">
        <f t="shared" ref="F23" si="6">SUM(F15+F21)</f>
        <v>200000</v>
      </c>
      <c r="G23" s="92">
        <f>H23/D23*100</f>
        <v>100.87730841777427</v>
      </c>
      <c r="H23" s="81">
        <f>H15+H21</f>
        <v>22997000</v>
      </c>
    </row>
    <row r="26" spans="1:8" x14ac:dyDescent="0.2">
      <c r="H26" s="22">
        <f>SUM(H23-'Kiadások COFOG szerint'!H68)</f>
        <v>0</v>
      </c>
    </row>
  </sheetData>
  <mergeCells count="15">
    <mergeCell ref="A23:B23"/>
    <mergeCell ref="A16:H16"/>
    <mergeCell ref="A17:A18"/>
    <mergeCell ref="B17:B18"/>
    <mergeCell ref="A21:B21"/>
    <mergeCell ref="C17:H17"/>
    <mergeCell ref="A2:H2"/>
    <mergeCell ref="A15:B15"/>
    <mergeCell ref="A3:H3"/>
    <mergeCell ref="A6:H6"/>
    <mergeCell ref="A7:A8"/>
    <mergeCell ref="B7:B8"/>
    <mergeCell ref="A10:A12"/>
    <mergeCell ref="A5:H5"/>
    <mergeCell ref="C7:H7"/>
  </mergeCells>
  <phoneticPr fontId="0" type="noConversion"/>
  <pageMargins left="1" right="1" top="1" bottom="1" header="0.5" footer="0.5"/>
  <pageSetup paperSize="9" scale="67" orientation="portrait" r:id="rId1"/>
  <headerFooter alignWithMargins="0">
    <oddHeader>&amp;LKálmánfy Béla Művelődési Ház&amp;RIII/2.a) számú melléklet</oddHeader>
    <oddFooter>&amp;C&amp;P/&amp;N&amp;R2020.01.hó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4"/>
  <sheetViews>
    <sheetView showGridLines="0" topLeftCell="A22" zoomScaleNormal="100" workbookViewId="0">
      <selection activeCell="M19" sqref="M19"/>
    </sheetView>
  </sheetViews>
  <sheetFormatPr defaultRowHeight="12.75" x14ac:dyDescent="0.2"/>
  <cols>
    <col min="1" max="1" width="12.28515625" customWidth="1"/>
    <col min="2" max="2" width="38.140625" customWidth="1"/>
    <col min="3" max="5" width="15.42578125" customWidth="1"/>
    <col min="6" max="6" width="13.140625" customWidth="1"/>
    <col min="7" max="7" width="9.7109375" customWidth="1"/>
    <col min="8" max="8" width="17" customWidth="1"/>
    <col min="9" max="10" width="10.140625" bestFit="1" customWidth="1"/>
  </cols>
  <sheetData>
    <row r="1" spans="1:9" x14ac:dyDescent="0.2">
      <c r="G1" s="5"/>
      <c r="H1" s="5"/>
    </row>
    <row r="2" spans="1:9" x14ac:dyDescent="0.2">
      <c r="A2" s="371" t="s">
        <v>170</v>
      </c>
      <c r="B2" s="371"/>
      <c r="C2" s="371"/>
      <c r="D2" s="371"/>
      <c r="E2" s="371"/>
      <c r="F2" s="371"/>
      <c r="G2" s="371"/>
      <c r="H2" s="371"/>
    </row>
    <row r="3" spans="1:9" x14ac:dyDescent="0.2">
      <c r="A3" s="371" t="s">
        <v>116</v>
      </c>
      <c r="B3" s="371"/>
      <c r="C3" s="371"/>
      <c r="D3" s="371"/>
      <c r="E3" s="371"/>
      <c r="F3" s="371"/>
      <c r="G3" s="371"/>
      <c r="H3" s="371"/>
    </row>
    <row r="4" spans="1:9" ht="13.5" thickBot="1" x14ac:dyDescent="0.25">
      <c r="H4" s="8" t="s">
        <v>49</v>
      </c>
    </row>
    <row r="5" spans="1:9" ht="21.75" customHeight="1" thickBot="1" x14ac:dyDescent="0.25">
      <c r="A5" s="393" t="s">
        <v>38</v>
      </c>
      <c r="B5" s="394"/>
      <c r="C5" s="394"/>
      <c r="D5" s="394"/>
      <c r="E5" s="394"/>
      <c r="F5" s="394"/>
      <c r="G5" s="394"/>
      <c r="H5" s="395"/>
    </row>
    <row r="6" spans="1:9" x14ac:dyDescent="0.2">
      <c r="A6" s="396" t="s">
        <v>0</v>
      </c>
      <c r="B6" s="398" t="s">
        <v>18</v>
      </c>
      <c r="C6" s="400">
        <v>2023</v>
      </c>
      <c r="D6" s="401"/>
      <c r="E6" s="401"/>
      <c r="F6" s="401"/>
      <c r="G6" s="401"/>
      <c r="H6" s="402"/>
    </row>
    <row r="7" spans="1:9" ht="30.75" customHeight="1" thickBot="1" x14ac:dyDescent="0.25">
      <c r="A7" s="397"/>
      <c r="B7" s="399"/>
      <c r="C7" s="93" t="s">
        <v>59</v>
      </c>
      <c r="D7" s="93" t="s">
        <v>161</v>
      </c>
      <c r="E7" s="326" t="s">
        <v>168</v>
      </c>
      <c r="F7" s="93" t="s">
        <v>113</v>
      </c>
      <c r="G7" s="93" t="s">
        <v>58</v>
      </c>
      <c r="H7" s="94" t="s">
        <v>161</v>
      </c>
    </row>
    <row r="8" spans="1:9" ht="22.5" customHeight="1" x14ac:dyDescent="0.2">
      <c r="A8" s="95" t="s">
        <v>4</v>
      </c>
      <c r="B8" s="178" t="s">
        <v>21</v>
      </c>
      <c r="C8" s="180">
        <v>10600000</v>
      </c>
      <c r="D8" s="180">
        <v>10600000</v>
      </c>
      <c r="E8" s="180">
        <f>SUM('Kiadások COFOG szerint'!E30+'Kiadások COFOG szerint'!E62)</f>
        <v>7897199</v>
      </c>
      <c r="F8" s="180">
        <f>SUM('Kiadások COFOG szerint'!F30+'Kiadások COFOG szerint'!F62)</f>
        <v>0</v>
      </c>
      <c r="G8" s="336">
        <f>H8/D8*100</f>
        <v>100</v>
      </c>
      <c r="H8" s="337">
        <f>'Kiadások COFOG szerint'!H30+'Kiadások COFOG szerint'!H62</f>
        <v>10600000</v>
      </c>
      <c r="I8" s="14"/>
    </row>
    <row r="9" spans="1:9" ht="22.5" customHeight="1" x14ac:dyDescent="0.2">
      <c r="A9" s="95" t="s">
        <v>154</v>
      </c>
      <c r="B9" s="178" t="s">
        <v>155</v>
      </c>
      <c r="C9" s="181">
        <v>460000</v>
      </c>
      <c r="D9" s="97">
        <v>460000</v>
      </c>
      <c r="E9" s="327">
        <f>SUM('Kiadások COFOG szerint'!E31)</f>
        <v>0</v>
      </c>
      <c r="F9" s="327">
        <f>SUM('Kiadások COFOG szerint'!F31)</f>
        <v>-250000</v>
      </c>
      <c r="G9" s="336">
        <f t="shared" ref="G9:G16" si="0">H9/D9*100</f>
        <v>45.652173913043477</v>
      </c>
      <c r="H9" s="338">
        <f>SUM('Kiadások COFOG szerint'!H31)</f>
        <v>210000</v>
      </c>
      <c r="I9" s="14"/>
    </row>
    <row r="10" spans="1:9" ht="22.5" customHeight="1" x14ac:dyDescent="0.2">
      <c r="A10" s="99" t="s">
        <v>66</v>
      </c>
      <c r="B10" s="179" t="s">
        <v>67</v>
      </c>
      <c r="C10" s="181">
        <v>300000</v>
      </c>
      <c r="D10" s="97">
        <v>300000</v>
      </c>
      <c r="E10" s="327">
        <f>'Kiadások COFOG szerint'!E32</f>
        <v>550000</v>
      </c>
      <c r="F10" s="327">
        <f>'Kiadások COFOG szerint'!F32</f>
        <v>250000</v>
      </c>
      <c r="G10" s="336">
        <f t="shared" si="0"/>
        <v>183.33333333333331</v>
      </c>
      <c r="H10" s="339">
        <f>'Kiadások COFOG szerint'!H32</f>
        <v>550000</v>
      </c>
    </row>
    <row r="11" spans="1:9" ht="22.5" customHeight="1" x14ac:dyDescent="0.2">
      <c r="A11" s="99" t="s">
        <v>5</v>
      </c>
      <c r="B11" s="179" t="s">
        <v>22</v>
      </c>
      <c r="C11" s="181">
        <v>100000</v>
      </c>
      <c r="D11" s="97">
        <v>100000</v>
      </c>
      <c r="E11" s="327">
        <f>'Kiadások COFOG szerint'!E33</f>
        <v>0</v>
      </c>
      <c r="F11" s="327">
        <f>'Kiadások COFOG szerint'!F33</f>
        <v>0</v>
      </c>
      <c r="G11" s="336">
        <f t="shared" si="0"/>
        <v>100</v>
      </c>
      <c r="H11" s="339">
        <f>'Kiadások COFOG szerint'!H33</f>
        <v>100000</v>
      </c>
      <c r="I11" s="14"/>
    </row>
    <row r="12" spans="1:9" ht="22.5" customHeight="1" x14ac:dyDescent="0.2">
      <c r="A12" s="99" t="s">
        <v>6</v>
      </c>
      <c r="B12" s="179" t="s">
        <v>23</v>
      </c>
      <c r="C12" s="181">
        <v>0</v>
      </c>
      <c r="D12" s="97">
        <v>0</v>
      </c>
      <c r="E12" s="327">
        <f>'Kiadások COFOG szerint'!E34</f>
        <v>0</v>
      </c>
      <c r="F12" s="327">
        <f>'Kiadások COFOG szerint'!F34</f>
        <v>0</v>
      </c>
      <c r="G12" s="336">
        <v>0</v>
      </c>
      <c r="H12" s="339">
        <f>'Kiadások COFOG szerint'!H34</f>
        <v>0</v>
      </c>
      <c r="I12" s="14"/>
    </row>
    <row r="13" spans="1:9" ht="22.5" customHeight="1" x14ac:dyDescent="0.2">
      <c r="A13" s="99" t="s">
        <v>7</v>
      </c>
      <c r="B13" s="179" t="s">
        <v>24</v>
      </c>
      <c r="C13" s="181">
        <v>940000</v>
      </c>
      <c r="D13" s="97">
        <v>940000</v>
      </c>
      <c r="E13" s="327">
        <f>'Kiadások COFOG szerint'!E35</f>
        <v>448000</v>
      </c>
      <c r="F13" s="327">
        <f>'Kiadások COFOG szerint'!F35</f>
        <v>0</v>
      </c>
      <c r="G13" s="336">
        <f t="shared" si="0"/>
        <v>100</v>
      </c>
      <c r="H13" s="339">
        <f>'Kiadások COFOG szerint'!H35</f>
        <v>940000</v>
      </c>
    </row>
    <row r="14" spans="1:9" ht="22.5" customHeight="1" x14ac:dyDescent="0.2">
      <c r="A14" s="102" t="s">
        <v>112</v>
      </c>
      <c r="B14" s="177" t="s">
        <v>111</v>
      </c>
      <c r="C14" s="126">
        <v>0</v>
      </c>
      <c r="D14" s="104">
        <v>0</v>
      </c>
      <c r="E14" s="327">
        <f>'Kiadások COFOG szerint'!E36</f>
        <v>0</v>
      </c>
      <c r="F14" s="327">
        <f>'Kiadások COFOG szerint'!F36</f>
        <v>0</v>
      </c>
      <c r="G14" s="336">
        <v>0</v>
      </c>
      <c r="H14" s="339">
        <f>'Kiadások COFOG szerint'!H36</f>
        <v>0</v>
      </c>
    </row>
    <row r="15" spans="1:9" ht="33" customHeight="1" x14ac:dyDescent="0.2">
      <c r="A15" s="99" t="s">
        <v>8</v>
      </c>
      <c r="B15" s="296" t="s">
        <v>25</v>
      </c>
      <c r="C15" s="297">
        <v>720000</v>
      </c>
      <c r="D15" s="315">
        <v>720000</v>
      </c>
      <c r="E15" s="327">
        <f>'Kiadások COFOG szerint'!E16+'Kiadások COFOG szerint'!E37</f>
        <v>540000</v>
      </c>
      <c r="F15" s="327">
        <f>'Kiadások COFOG szerint'!F16+'Kiadások COFOG szerint'!F37</f>
        <v>0</v>
      </c>
      <c r="G15" s="336">
        <f t="shared" si="0"/>
        <v>100</v>
      </c>
      <c r="H15" s="339">
        <f>'Kiadások COFOG szerint'!H16+'Kiadások COFOG szerint'!H37</f>
        <v>720000</v>
      </c>
    </row>
    <row r="16" spans="1:9" ht="33" customHeight="1" thickBot="1" x14ac:dyDescent="0.25">
      <c r="A16" s="294" t="s">
        <v>158</v>
      </c>
      <c r="B16" s="295" t="s">
        <v>160</v>
      </c>
      <c r="C16" s="182">
        <v>30000</v>
      </c>
      <c r="D16" s="316">
        <v>30000</v>
      </c>
      <c r="E16" s="328">
        <f>SUM('Kiadások COFOG szerint'!E38)</f>
        <v>21288</v>
      </c>
      <c r="F16" s="328">
        <f>SUM('Kiadások COFOG szerint'!F38)</f>
        <v>0</v>
      </c>
      <c r="G16" s="336">
        <f t="shared" si="0"/>
        <v>100</v>
      </c>
      <c r="H16" s="340">
        <f>SUM('Kiadások COFOG szerint'!H38)</f>
        <v>30000</v>
      </c>
    </row>
    <row r="17" spans="1:12" ht="24" customHeight="1" thickBot="1" x14ac:dyDescent="0.25">
      <c r="A17" s="388" t="s">
        <v>35</v>
      </c>
      <c r="B17" s="389"/>
      <c r="C17" s="160">
        <f>SUM(C8:C16)</f>
        <v>13150000</v>
      </c>
      <c r="D17" s="160">
        <f t="shared" ref="D17:E17" si="1">SUM(D8:D16)</f>
        <v>13150000</v>
      </c>
      <c r="E17" s="160">
        <f t="shared" si="1"/>
        <v>9456487</v>
      </c>
      <c r="F17" s="160">
        <f>SUM(F8:F16)</f>
        <v>0</v>
      </c>
      <c r="G17" s="106">
        <f>H17/C17*100</f>
        <v>100</v>
      </c>
      <c r="H17" s="105">
        <f>SUM(H8:H16)</f>
        <v>13150000</v>
      </c>
      <c r="J17" s="22"/>
    </row>
    <row r="18" spans="1:12" ht="20.100000000000001" customHeight="1" x14ac:dyDescent="0.2">
      <c r="A18" s="95" t="s">
        <v>9</v>
      </c>
      <c r="B18" s="96" t="s">
        <v>26</v>
      </c>
      <c r="C18" s="97">
        <f>SUM('Kiadások COFOG szerint'!C18+'Kiadások COFOG szerint'!C40)</f>
        <v>1630000</v>
      </c>
      <c r="D18" s="97">
        <v>1630000</v>
      </c>
      <c r="E18" s="180">
        <f>'Kiadások COFOG szerint'!E18+'Kiadások COFOG szerint'!E40+'Kiadások COFOG szerint'!E64</f>
        <v>1157061</v>
      </c>
      <c r="F18" s="180">
        <f>'Kiadások COFOG szerint'!F18+'Kiadások COFOG szerint'!F40+'Kiadások COFOG szerint'!F64</f>
        <v>0</v>
      </c>
      <c r="G18" s="344">
        <f>SUM(H18/D18*100)</f>
        <v>100</v>
      </c>
      <c r="H18" s="98">
        <f>'Kiadások COFOG szerint'!H18+'Kiadások COFOG szerint'!H40+'Kiadások COFOG szerint'!H64</f>
        <v>1630000</v>
      </c>
      <c r="I18" s="14"/>
    </row>
    <row r="19" spans="1:12" ht="23.25" customHeight="1" thickBot="1" x14ac:dyDescent="0.25">
      <c r="A19" s="102" t="s">
        <v>10</v>
      </c>
      <c r="B19" s="103" t="s">
        <v>27</v>
      </c>
      <c r="C19" s="104">
        <f>SUM('Kiadások COFOG szerint'!C19+'Kiadások COFOG szerint'!C41)</f>
        <v>80000</v>
      </c>
      <c r="D19" s="104">
        <v>80000</v>
      </c>
      <c r="E19" s="328">
        <f>'Kiadások COFOG szerint'!E41</f>
        <v>88430</v>
      </c>
      <c r="F19" s="328">
        <f>'Kiadások COFOG szerint'!F41</f>
        <v>0</v>
      </c>
      <c r="G19" s="344">
        <f>SUM(H19/D19*100)</f>
        <v>100</v>
      </c>
      <c r="H19" s="98">
        <f>'Kiadások COFOG szerint'!H41</f>
        <v>80000</v>
      </c>
      <c r="I19" s="14"/>
    </row>
    <row r="20" spans="1:12" ht="24.95" customHeight="1" thickBot="1" x14ac:dyDescent="0.25">
      <c r="A20" s="390" t="s">
        <v>36</v>
      </c>
      <c r="B20" s="389"/>
      <c r="C20" s="160">
        <f>SUM(C18:C19)</f>
        <v>1710000</v>
      </c>
      <c r="D20" s="160">
        <f t="shared" ref="D20:F20" si="2">SUM(D18:D19)</f>
        <v>1710000</v>
      </c>
      <c r="E20" s="160">
        <f t="shared" si="2"/>
        <v>1245491</v>
      </c>
      <c r="F20" s="160">
        <f t="shared" si="2"/>
        <v>0</v>
      </c>
      <c r="G20" s="106">
        <f>H20/D20*100</f>
        <v>100</v>
      </c>
      <c r="H20" s="105">
        <f>SUM(H18:H19)</f>
        <v>1710000</v>
      </c>
    </row>
    <row r="21" spans="1:12" ht="20.100000000000001" customHeight="1" x14ac:dyDescent="0.2">
      <c r="A21" s="107" t="s">
        <v>11</v>
      </c>
      <c r="B21" s="108" t="s">
        <v>28</v>
      </c>
      <c r="C21" s="109">
        <f>SUM('Kiadások COFOG szerint'!C9+'Kiadások COFOG szerint'!C21+'Kiadások COFOG szerint'!C43)</f>
        <v>609905</v>
      </c>
      <c r="D21" s="317">
        <v>609905</v>
      </c>
      <c r="E21" s="329">
        <f>'Kiadások COFOG szerint'!E21+'Kiadások COFOG szerint'!E43+'Kiadások COFOG szerint'!E9</f>
        <v>19323</v>
      </c>
      <c r="F21" s="329">
        <f>'Kiadások COFOG szerint'!F21+'Kiadások COFOG szerint'!F43+'Kiadások COFOG szerint'!F9</f>
        <v>0</v>
      </c>
      <c r="G21" s="341">
        <f>SUM(H21/D21*100)</f>
        <v>100</v>
      </c>
      <c r="H21" s="110">
        <f>'Kiadások COFOG szerint'!H21+'Kiadások COFOG szerint'!H43+'Kiadások COFOG szerint'!H9</f>
        <v>609905</v>
      </c>
      <c r="I21" s="14"/>
    </row>
    <row r="22" spans="1:12" ht="20.100000000000001" customHeight="1" x14ac:dyDescent="0.2">
      <c r="A22" s="107" t="s">
        <v>12</v>
      </c>
      <c r="B22" s="111" t="s">
        <v>29</v>
      </c>
      <c r="C22" s="112">
        <f>SUM('Kiadások COFOG szerint'!C22+'Kiadások COFOG szerint'!C44)</f>
        <v>1400000</v>
      </c>
      <c r="D22" s="318">
        <v>1400000</v>
      </c>
      <c r="E22" s="330">
        <f>'Kiadások COFOG szerint'!E44+'Kiadások COFOG szerint'!E22</f>
        <v>675111</v>
      </c>
      <c r="F22" s="330">
        <f>'Kiadások COFOG szerint'!F44+'Kiadások COFOG szerint'!F22</f>
        <v>90000</v>
      </c>
      <c r="G22" s="341">
        <f t="shared" ref="G22:G31" si="3">SUM(H22/D22*100)</f>
        <v>106.42857142857143</v>
      </c>
      <c r="H22" s="113">
        <f>'Kiadások COFOG szerint'!H44+'Kiadások COFOG szerint'!H22</f>
        <v>1490000</v>
      </c>
      <c r="I22" s="14"/>
    </row>
    <row r="23" spans="1:12" ht="20.100000000000001" customHeight="1" x14ac:dyDescent="0.2">
      <c r="A23" s="107" t="s">
        <v>69</v>
      </c>
      <c r="B23" s="100" t="s">
        <v>70</v>
      </c>
      <c r="C23" s="114">
        <f>SUM('Kiadások COFOG szerint'!C45)</f>
        <v>100000</v>
      </c>
      <c r="D23" s="119">
        <v>100000</v>
      </c>
      <c r="E23" s="327">
        <f>'Kiadások COFOG szerint'!E45</f>
        <v>82200</v>
      </c>
      <c r="F23" s="327">
        <f>'Kiadások COFOG szerint'!F45</f>
        <v>20000</v>
      </c>
      <c r="G23" s="341">
        <f t="shared" si="3"/>
        <v>120</v>
      </c>
      <c r="H23" s="101">
        <f>'Kiadások COFOG szerint'!H45</f>
        <v>120000</v>
      </c>
      <c r="I23" s="14"/>
    </row>
    <row r="24" spans="1:12" ht="20.100000000000001" customHeight="1" x14ac:dyDescent="0.2">
      <c r="A24" s="107" t="s">
        <v>75</v>
      </c>
      <c r="B24" s="115" t="s">
        <v>71</v>
      </c>
      <c r="C24" s="114">
        <f>SUM('Kiadások COFOG szerint'!C46)</f>
        <v>84000</v>
      </c>
      <c r="D24" s="119">
        <v>84000</v>
      </c>
      <c r="E24" s="327">
        <f>'Kiadások COFOG szerint'!E46</f>
        <v>48332</v>
      </c>
      <c r="F24" s="327">
        <f>'Kiadások COFOG szerint'!F46</f>
        <v>0</v>
      </c>
      <c r="G24" s="341">
        <f t="shared" si="3"/>
        <v>100</v>
      </c>
      <c r="H24" s="101">
        <f>'Kiadások COFOG szerint'!H46</f>
        <v>84000</v>
      </c>
      <c r="I24" s="14"/>
    </row>
    <row r="25" spans="1:12" ht="20.100000000000001" customHeight="1" x14ac:dyDescent="0.2">
      <c r="A25" s="107" t="s">
        <v>84</v>
      </c>
      <c r="B25" s="115" t="s">
        <v>103</v>
      </c>
      <c r="C25" s="114">
        <f>SUM('Kiadások COFOG szerint'!C47)</f>
        <v>2650000</v>
      </c>
      <c r="D25" s="119">
        <v>3144000</v>
      </c>
      <c r="E25" s="327">
        <f>SUM('Kiadások COFOG szerint'!E47)</f>
        <v>1759377</v>
      </c>
      <c r="F25" s="327">
        <f>SUM('Kiadások COFOG szerint'!F47)</f>
        <v>0</v>
      </c>
      <c r="G25" s="341">
        <f t="shared" si="3"/>
        <v>100</v>
      </c>
      <c r="H25" s="101">
        <f>SUM('Kiadások COFOG szerint'!H47)</f>
        <v>3144000</v>
      </c>
      <c r="I25" s="14"/>
    </row>
    <row r="26" spans="1:12" ht="20.100000000000001" customHeight="1" x14ac:dyDescent="0.2">
      <c r="A26" s="107" t="s">
        <v>82</v>
      </c>
      <c r="B26" s="115" t="s">
        <v>104</v>
      </c>
      <c r="C26" s="114">
        <f>SUM('Kiadások COFOG szerint'!C48)</f>
        <v>50000</v>
      </c>
      <c r="D26" s="119">
        <v>45000</v>
      </c>
      <c r="E26" s="327">
        <f>'Kiadások COFOG szerint'!E48+'Kiadások COFOG szerint'!E23</f>
        <v>142800</v>
      </c>
      <c r="F26" s="327">
        <f>'Kiadások COFOG szerint'!F48+'Kiadások COFOG szerint'!F23</f>
        <v>208500</v>
      </c>
      <c r="G26" s="341">
        <f t="shared" si="3"/>
        <v>563.33333333333337</v>
      </c>
      <c r="H26" s="101">
        <f>'Kiadások COFOG szerint'!H48+'Kiadások COFOG szerint'!H23</f>
        <v>253500</v>
      </c>
      <c r="I26" s="14"/>
    </row>
    <row r="27" spans="1:12" ht="20.100000000000001" customHeight="1" x14ac:dyDescent="0.2">
      <c r="A27" s="107" t="s">
        <v>127</v>
      </c>
      <c r="B27" s="115" t="s">
        <v>129</v>
      </c>
      <c r="C27" s="114">
        <f>SUM('Kiadások COFOG szerint'!C49)</f>
        <v>0</v>
      </c>
      <c r="D27" s="119">
        <v>0</v>
      </c>
      <c r="E27" s="327">
        <f>SUM('Kiadások COFOG szerint'!E49)</f>
        <v>0</v>
      </c>
      <c r="F27" s="327">
        <f>SUM('Kiadások COFOG szerint'!F49)</f>
        <v>0</v>
      </c>
      <c r="G27" s="341">
        <v>0</v>
      </c>
      <c r="H27" s="101">
        <f>SUM('Kiadások COFOG szerint'!H49)</f>
        <v>0</v>
      </c>
      <c r="I27" s="14"/>
    </row>
    <row r="28" spans="1:12" ht="20.100000000000001" customHeight="1" x14ac:dyDescent="0.2">
      <c r="A28" s="116" t="s">
        <v>14</v>
      </c>
      <c r="B28" s="115" t="s">
        <v>30</v>
      </c>
      <c r="C28" s="114">
        <f>SUM('Kiadások COFOG szerint'!C50)</f>
        <v>800000</v>
      </c>
      <c r="D28" s="119">
        <v>800000</v>
      </c>
      <c r="E28" s="327">
        <f>'Kiadások COFOG szerint'!E50</f>
        <v>109344</v>
      </c>
      <c r="F28" s="327">
        <f>'Kiadások COFOG szerint'!F50</f>
        <v>-126500</v>
      </c>
      <c r="G28" s="341">
        <f t="shared" si="3"/>
        <v>84.1875</v>
      </c>
      <c r="H28" s="101">
        <f>'Kiadások COFOG szerint'!H50</f>
        <v>673500</v>
      </c>
      <c r="I28" s="14"/>
      <c r="L28" s="14"/>
    </row>
    <row r="29" spans="1:12" ht="20.100000000000001" customHeight="1" x14ac:dyDescent="0.2">
      <c r="A29" s="148" t="s">
        <v>15</v>
      </c>
      <c r="B29" s="115" t="s">
        <v>31</v>
      </c>
      <c r="C29" s="114">
        <f>SUM('Kiadások COFOG szerint'!C51)</f>
        <v>150000</v>
      </c>
      <c r="D29" s="119">
        <v>150000</v>
      </c>
      <c r="E29" s="327">
        <f>'Kiadások COFOG szerint'!E51</f>
        <v>152952</v>
      </c>
      <c r="F29" s="327">
        <f>'Kiadások COFOG szerint'!F51</f>
        <v>3000</v>
      </c>
      <c r="G29" s="341">
        <f t="shared" si="3"/>
        <v>102</v>
      </c>
      <c r="H29" s="101">
        <f>'Kiadások COFOG szerint'!H51</f>
        <v>153000</v>
      </c>
      <c r="I29" s="14"/>
      <c r="L29" s="14"/>
    </row>
    <row r="30" spans="1:12" ht="25.5" customHeight="1" x14ac:dyDescent="0.2">
      <c r="A30" s="117" t="s">
        <v>16</v>
      </c>
      <c r="B30" s="100" t="s">
        <v>32</v>
      </c>
      <c r="C30" s="114">
        <f>SUM('Kiadások COFOG szerint'!C11+'Kiadások COFOG szerint'!C24+'Kiadások COFOG szerint'!C52)</f>
        <v>1340095</v>
      </c>
      <c r="D30" s="119">
        <v>1340095</v>
      </c>
      <c r="E30" s="327">
        <f>'Kiadások COFOG szerint'!E52+'Kiadások COFOG szerint'!E11+'Kiadások COFOG szerint'!E24</f>
        <v>690105</v>
      </c>
      <c r="F30" s="327">
        <f>'Kiadások COFOG szerint'!F52+'Kiadások COFOG szerint'!F11+'Kiadások COFOG szerint'!F24</f>
        <v>0</v>
      </c>
      <c r="G30" s="341">
        <f t="shared" si="3"/>
        <v>100</v>
      </c>
      <c r="H30" s="101">
        <f>'Kiadások COFOG szerint'!H52+'Kiadások COFOG szerint'!H11+'Kiadások COFOG szerint'!H24</f>
        <v>1340095</v>
      </c>
      <c r="I30" s="14"/>
      <c r="L30" s="14"/>
    </row>
    <row r="31" spans="1:12" ht="20.100000000000001" customHeight="1" thickBot="1" x14ac:dyDescent="0.25">
      <c r="A31" s="118" t="s">
        <v>17</v>
      </c>
      <c r="B31" s="103" t="s">
        <v>33</v>
      </c>
      <c r="C31" s="119">
        <f>SUM('Kiadások COFOG szerint'!C53)</f>
        <v>5000</v>
      </c>
      <c r="D31" s="119">
        <v>10000</v>
      </c>
      <c r="E31" s="331">
        <f>'Kiadások COFOG szerint'!E53</f>
        <v>13271</v>
      </c>
      <c r="F31" s="331">
        <f>'Kiadások COFOG szerint'!F53</f>
        <v>5000</v>
      </c>
      <c r="G31" s="341">
        <f t="shared" si="3"/>
        <v>150</v>
      </c>
      <c r="H31" s="120">
        <f>'Kiadások COFOG szerint'!H53</f>
        <v>15000</v>
      </c>
      <c r="I31" s="14"/>
      <c r="L31" s="14"/>
    </row>
    <row r="32" spans="1:12" ht="24.95" customHeight="1" thickBot="1" x14ac:dyDescent="0.25">
      <c r="A32" s="388" t="s">
        <v>37</v>
      </c>
      <c r="B32" s="389"/>
      <c r="C32" s="160">
        <f>SUM(C21:C31)</f>
        <v>7189000</v>
      </c>
      <c r="D32" s="160">
        <f t="shared" ref="D32:E32" si="4">SUM(D21:D31)</f>
        <v>7683000</v>
      </c>
      <c r="E32" s="332">
        <f t="shared" si="4"/>
        <v>3692815</v>
      </c>
      <c r="F32" s="332">
        <f t="shared" ref="F32" si="5">SUM(F21:F31)</f>
        <v>200000</v>
      </c>
      <c r="G32" s="335">
        <f>H32/D32*100</f>
        <v>102.60314981127163</v>
      </c>
      <c r="H32" s="105">
        <f>SUM(H21:H31)</f>
        <v>7883000</v>
      </c>
      <c r="L32" s="14"/>
    </row>
    <row r="33" spans="1:12" ht="24.95" customHeight="1" x14ac:dyDescent="0.2">
      <c r="A33" s="124" t="s">
        <v>91</v>
      </c>
      <c r="B33" s="125" t="s">
        <v>92</v>
      </c>
      <c r="C33" s="180">
        <f>SUM('Kiadások COFOG szerint'!C55)</f>
        <v>200000</v>
      </c>
      <c r="D33" s="180">
        <v>200000</v>
      </c>
      <c r="E33" s="333">
        <f>'Kiadások COFOG szerint'!E55</f>
        <v>0</v>
      </c>
      <c r="F33" s="333">
        <f>'Kiadások COFOG szerint'!F55</f>
        <v>0</v>
      </c>
      <c r="G33" s="342">
        <f>'Kiadások COFOG szerint'!G55</f>
        <v>100</v>
      </c>
      <c r="H33" s="127">
        <f>'Kiadások COFOG szerint'!H55</f>
        <v>200000</v>
      </c>
      <c r="L33" s="14"/>
    </row>
    <row r="34" spans="1:12" ht="24.95" customHeight="1" thickBot="1" x14ac:dyDescent="0.25">
      <c r="A34" s="128" t="s">
        <v>93</v>
      </c>
      <c r="B34" s="129" t="s">
        <v>95</v>
      </c>
      <c r="C34" s="185">
        <f>SUM('Kiadások COFOG szerint'!C56)</f>
        <v>54000</v>
      </c>
      <c r="D34" s="185">
        <v>54000</v>
      </c>
      <c r="E34" s="334">
        <f>'Kiadások COFOG szerint'!E56</f>
        <v>0</v>
      </c>
      <c r="F34" s="334">
        <f>'Kiadások COFOG szerint'!F56</f>
        <v>0</v>
      </c>
      <c r="G34" s="343">
        <f>'Kiadások COFOG szerint'!G56</f>
        <v>100</v>
      </c>
      <c r="H34" s="130">
        <f>'Kiadások COFOG szerint'!H56</f>
        <v>54000</v>
      </c>
      <c r="L34" s="14"/>
    </row>
    <row r="35" spans="1:12" ht="24.95" customHeight="1" thickBot="1" x14ac:dyDescent="0.25">
      <c r="A35" s="388" t="s">
        <v>105</v>
      </c>
      <c r="B35" s="389"/>
      <c r="C35" s="160">
        <f>SUM(C33:C34)</f>
        <v>254000</v>
      </c>
      <c r="D35" s="160">
        <f t="shared" ref="D35:F35" si="6">SUM(D33:D34)</f>
        <v>254000</v>
      </c>
      <c r="E35" s="160">
        <f t="shared" si="6"/>
        <v>0</v>
      </c>
      <c r="F35" s="160">
        <f t="shared" si="6"/>
        <v>0</v>
      </c>
      <c r="G35" s="121">
        <f>SUM(H35/D35*100)</f>
        <v>100</v>
      </c>
      <c r="H35" s="105">
        <f>SUM(H33:H34)</f>
        <v>254000</v>
      </c>
      <c r="L35" s="14"/>
    </row>
    <row r="36" spans="1:12" ht="21.75" customHeight="1" thickBot="1" x14ac:dyDescent="0.25">
      <c r="A36" s="391" t="s">
        <v>1</v>
      </c>
      <c r="B36" s="392"/>
      <c r="C36" s="161">
        <f>SUM(C17+C20+C32+C35)</f>
        <v>22303000</v>
      </c>
      <c r="D36" s="161">
        <f t="shared" ref="D36:E36" si="7">SUM(D17+D20+D32+D35)</f>
        <v>22797000</v>
      </c>
      <c r="E36" s="161">
        <f t="shared" si="7"/>
        <v>14394793</v>
      </c>
      <c r="F36" s="161">
        <f t="shared" ref="F36" si="8">SUM(F17+F20+F32+F35)</f>
        <v>200000</v>
      </c>
      <c r="G36" s="123">
        <f>H36/D36*100</f>
        <v>100.87730841777427</v>
      </c>
      <c r="H36" s="122">
        <f>H17+H20+H32+H35</f>
        <v>22997000</v>
      </c>
      <c r="I36" s="15"/>
      <c r="L36" s="14"/>
    </row>
    <row r="37" spans="1:12" x14ac:dyDescent="0.2">
      <c r="L37" s="14"/>
    </row>
    <row r="38" spans="1:12" x14ac:dyDescent="0.2">
      <c r="A38" s="44" t="s">
        <v>114</v>
      </c>
      <c r="B38" s="44"/>
      <c r="C38" s="186">
        <f>C36-'Kiadások COFOG szerint'!C68</f>
        <v>0</v>
      </c>
      <c r="D38" s="186">
        <f>D36-'Kiadások COFOG szerint'!D68</f>
        <v>0</v>
      </c>
      <c r="E38" s="186">
        <f>E36-'Kiadások COFOG szerint'!E68</f>
        <v>0</v>
      </c>
      <c r="F38" s="186">
        <f>F36-'Kiadások COFOG szerint'!F68</f>
        <v>0</v>
      </c>
      <c r="G38" s="186">
        <f>G36-'Kiadások COFOG szerint'!G68</f>
        <v>0</v>
      </c>
      <c r="H38" s="186">
        <f>H36-'Kiadások COFOG szerint'!H68</f>
        <v>0</v>
      </c>
      <c r="L38" s="14"/>
    </row>
    <row r="39" spans="1:12" x14ac:dyDescent="0.2">
      <c r="L39" s="14"/>
    </row>
    <row r="40" spans="1:12" x14ac:dyDescent="0.2">
      <c r="L40" s="14"/>
    </row>
    <row r="41" spans="1:12" x14ac:dyDescent="0.2">
      <c r="L41" s="14"/>
    </row>
    <row r="42" spans="1:12" x14ac:dyDescent="0.2">
      <c r="L42" s="14"/>
    </row>
    <row r="43" spans="1:12" x14ac:dyDescent="0.2">
      <c r="L43" s="14"/>
    </row>
    <row r="44" spans="1:12" x14ac:dyDescent="0.2">
      <c r="L44" s="14"/>
    </row>
  </sheetData>
  <sheetProtection algorithmName="SHA-512" hashValue="F5eW/1DVVngAbkb/miNoQhHKLfA+n3wyEHTyl+XP5ZMWrRJfhMDW7kjg9Eol20X5qaBPBw1Fj7JmrA1bJYEW+w==" saltValue="6cK1ERMpBRmt8AVtsQMtKQ==" spinCount="100000" sheet="1" objects="1" scenarios="1"/>
  <mergeCells count="11">
    <mergeCell ref="A17:B17"/>
    <mergeCell ref="A20:B20"/>
    <mergeCell ref="A32:B32"/>
    <mergeCell ref="A36:B36"/>
    <mergeCell ref="A2:H2"/>
    <mergeCell ref="A3:H3"/>
    <mergeCell ref="A5:H5"/>
    <mergeCell ref="A6:A7"/>
    <mergeCell ref="B6:B7"/>
    <mergeCell ref="A35:B35"/>
    <mergeCell ref="C6:H6"/>
  </mergeCells>
  <phoneticPr fontId="0" type="noConversion"/>
  <pageMargins left="0.98425196850393704" right="0.59055118110236227" top="0.59055118110236227" bottom="0.59055118110236227" header="0.51181102362204722" footer="0.51181102362204722"/>
  <pageSetup paperSize="9" scale="82" orientation="portrait" r:id="rId1"/>
  <headerFooter alignWithMargins="0">
    <oddHeader>&amp;LKálmánfi Béla Művelődési Ház és Könyvtár&amp;RIII/3. számú melléklet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0"/>
  <sheetViews>
    <sheetView topLeftCell="A25" zoomScaleNormal="100" workbookViewId="0">
      <selection activeCell="E70" sqref="E70"/>
    </sheetView>
  </sheetViews>
  <sheetFormatPr defaultRowHeight="12.75" x14ac:dyDescent="0.2"/>
  <cols>
    <col min="1" max="1" width="11.5703125" customWidth="1"/>
    <col min="2" max="2" width="34.7109375" customWidth="1"/>
    <col min="3" max="4" width="13.28515625" customWidth="1"/>
    <col min="5" max="6" width="11.42578125" customWidth="1"/>
    <col min="7" max="7" width="9.85546875" customWidth="1"/>
    <col min="8" max="8" width="17.42578125" customWidth="1"/>
    <col min="9" max="9" width="13.7109375" bestFit="1" customWidth="1"/>
    <col min="10" max="10" width="12.42578125" style="44" bestFit="1" customWidth="1"/>
    <col min="11" max="11" width="11.42578125" style="44" bestFit="1" customWidth="1"/>
    <col min="12" max="13" width="15.28515625" style="44" bestFit="1" customWidth="1"/>
    <col min="14" max="14" width="13.7109375" style="44" bestFit="1" customWidth="1"/>
    <col min="15" max="15" width="12.5703125" bestFit="1" customWidth="1"/>
    <col min="16" max="16" width="15.28515625" bestFit="1" customWidth="1"/>
  </cols>
  <sheetData>
    <row r="1" spans="1:14" x14ac:dyDescent="0.2">
      <c r="E1" s="352"/>
      <c r="F1" s="352"/>
      <c r="G1" s="352"/>
      <c r="H1" s="352"/>
    </row>
    <row r="2" spans="1:14" x14ac:dyDescent="0.2">
      <c r="A2" s="371" t="s">
        <v>170</v>
      </c>
      <c r="B2" s="371"/>
      <c r="C2" s="371"/>
      <c r="D2" s="371"/>
      <c r="E2" s="371"/>
      <c r="F2" s="371"/>
      <c r="G2" s="371"/>
      <c r="H2" s="371"/>
    </row>
    <row r="3" spans="1:14" x14ac:dyDescent="0.2">
      <c r="A3" s="371" t="s">
        <v>116</v>
      </c>
      <c r="B3" s="371"/>
      <c r="C3" s="371"/>
      <c r="D3" s="371"/>
      <c r="E3" s="371"/>
      <c r="F3" s="371"/>
      <c r="G3" s="371"/>
      <c r="H3" s="371"/>
    </row>
    <row r="4" spans="1:14" x14ac:dyDescent="0.2">
      <c r="H4" s="8" t="s">
        <v>49</v>
      </c>
    </row>
    <row r="5" spans="1:14" ht="21.95" customHeight="1" thickBot="1" x14ac:dyDescent="0.25">
      <c r="A5" s="416" t="s">
        <v>41</v>
      </c>
      <c r="B5" s="416"/>
      <c r="C5" s="416"/>
      <c r="D5" s="416"/>
      <c r="E5" s="416"/>
      <c r="F5" s="416"/>
      <c r="G5" s="416"/>
      <c r="H5" s="416"/>
      <c r="L5" s="58"/>
      <c r="M5" s="58"/>
      <c r="N5" s="58"/>
    </row>
    <row r="6" spans="1:14" ht="21.95" customHeight="1" x14ac:dyDescent="0.2">
      <c r="A6" s="403" t="s">
        <v>79</v>
      </c>
      <c r="B6" s="404"/>
      <c r="C6" s="404"/>
      <c r="D6" s="404"/>
      <c r="E6" s="404"/>
      <c r="F6" s="404"/>
      <c r="G6" s="404"/>
      <c r="H6" s="405"/>
      <c r="J6" s="59"/>
    </row>
    <row r="7" spans="1:14" ht="18.75" customHeight="1" x14ac:dyDescent="0.2">
      <c r="A7" s="406" t="s">
        <v>0</v>
      </c>
      <c r="B7" s="417" t="s">
        <v>39</v>
      </c>
      <c r="C7" s="412">
        <v>2023</v>
      </c>
      <c r="D7" s="413"/>
      <c r="E7" s="413"/>
      <c r="F7" s="413"/>
      <c r="G7" s="413"/>
      <c r="H7" s="414"/>
    </row>
    <row r="8" spans="1:14" ht="25.5" customHeight="1" thickBot="1" x14ac:dyDescent="0.25">
      <c r="A8" s="407"/>
      <c r="B8" s="418"/>
      <c r="C8" s="33" t="s">
        <v>59</v>
      </c>
      <c r="D8" s="33" t="s">
        <v>161</v>
      </c>
      <c r="E8" s="33" t="s">
        <v>168</v>
      </c>
      <c r="F8" s="33" t="s">
        <v>113</v>
      </c>
      <c r="G8" s="33" t="s">
        <v>58</v>
      </c>
      <c r="H8" s="17" t="s">
        <v>167</v>
      </c>
    </row>
    <row r="9" spans="1:14" ht="21.95" customHeight="1" x14ac:dyDescent="0.2">
      <c r="A9" s="50" t="s">
        <v>11</v>
      </c>
      <c r="B9" s="34" t="s">
        <v>28</v>
      </c>
      <c r="C9" s="163">
        <v>559905</v>
      </c>
      <c r="D9" s="163">
        <v>559905</v>
      </c>
      <c r="E9" s="9">
        <v>12352</v>
      </c>
      <c r="F9" s="9">
        <f>SUM(H9-D9)</f>
        <v>0</v>
      </c>
      <c r="G9" s="45">
        <f>SUM(H9/D9)*100</f>
        <v>100</v>
      </c>
      <c r="H9" s="10">
        <f>SUM('Részletes cofogos'!H8)</f>
        <v>559905</v>
      </c>
      <c r="I9" s="346">
        <f>SUM(E9/H9*100)</f>
        <v>2.2060885328761128</v>
      </c>
    </row>
    <row r="10" spans="1:14" ht="21.95" customHeight="1" x14ac:dyDescent="0.2">
      <c r="A10" s="2" t="s">
        <v>14</v>
      </c>
      <c r="B10" s="34" t="s">
        <v>30</v>
      </c>
      <c r="C10" s="163">
        <v>0</v>
      </c>
      <c r="D10" s="163">
        <v>0</v>
      </c>
      <c r="E10" s="9">
        <v>0</v>
      </c>
      <c r="F10" s="9">
        <f t="shared" ref="F10:F11" si="0">SUM(H10-D10)</f>
        <v>0</v>
      </c>
      <c r="G10" s="45">
        <v>0</v>
      </c>
      <c r="H10" s="10">
        <v>0</v>
      </c>
      <c r="I10" s="346"/>
    </row>
    <row r="11" spans="1:14" ht="21.95" customHeight="1" thickBot="1" x14ac:dyDescent="0.25">
      <c r="A11" s="2" t="s">
        <v>16</v>
      </c>
      <c r="B11" s="1" t="s">
        <v>32</v>
      </c>
      <c r="C11" s="164">
        <v>40095</v>
      </c>
      <c r="D11" s="164">
        <v>40095</v>
      </c>
      <c r="E11" s="9">
        <v>618</v>
      </c>
      <c r="F11" s="9">
        <f t="shared" si="0"/>
        <v>0</v>
      </c>
      <c r="G11" s="45">
        <f>SUM(H11/D11)*100</f>
        <v>100</v>
      </c>
      <c r="H11" s="10">
        <f>SUM('Részletes cofogos'!H12)</f>
        <v>40095</v>
      </c>
      <c r="I11" s="346">
        <f t="shared" ref="I11:I68" si="1">SUM(E11/H11*100)</f>
        <v>1.541339319117097</v>
      </c>
      <c r="J11" s="60"/>
      <c r="K11" s="60"/>
    </row>
    <row r="12" spans="1:14" ht="21.95" customHeight="1" thickBot="1" x14ac:dyDescent="0.25">
      <c r="A12" s="410" t="s">
        <v>40</v>
      </c>
      <c r="B12" s="411"/>
      <c r="C12" s="165">
        <f>SUM(C9:C11)</f>
        <v>600000</v>
      </c>
      <c r="D12" s="165">
        <f t="shared" ref="D12:F12" si="2">SUM(D9:D11)</f>
        <v>600000</v>
      </c>
      <c r="E12" s="165">
        <f t="shared" si="2"/>
        <v>12970</v>
      </c>
      <c r="F12" s="165">
        <f t="shared" si="2"/>
        <v>0</v>
      </c>
      <c r="G12" s="322">
        <f>H12/C12*100</f>
        <v>100</v>
      </c>
      <c r="H12" s="321">
        <f>SUM(H9:H11)</f>
        <v>600000</v>
      </c>
      <c r="I12" s="346">
        <f t="shared" si="1"/>
        <v>2.1616666666666666</v>
      </c>
      <c r="J12" s="61"/>
    </row>
    <row r="13" spans="1:14" ht="26.25" customHeight="1" thickBot="1" x14ac:dyDescent="0.25">
      <c r="A13" s="421" t="s">
        <v>80</v>
      </c>
      <c r="B13" s="422"/>
      <c r="C13" s="422"/>
      <c r="D13" s="422"/>
      <c r="E13" s="422"/>
      <c r="F13" s="422"/>
      <c r="G13" s="422"/>
      <c r="H13" s="423"/>
      <c r="I13" s="346"/>
    </row>
    <row r="14" spans="1:14" ht="24.95" customHeight="1" x14ac:dyDescent="0.2">
      <c r="A14" s="419" t="s">
        <v>0</v>
      </c>
      <c r="B14" s="420" t="s">
        <v>39</v>
      </c>
      <c r="C14" s="412">
        <v>2023</v>
      </c>
      <c r="D14" s="413"/>
      <c r="E14" s="413"/>
      <c r="F14" s="413"/>
      <c r="G14" s="413"/>
      <c r="H14" s="414"/>
      <c r="I14" s="346"/>
    </row>
    <row r="15" spans="1:14" ht="24.95" customHeight="1" thickBot="1" x14ac:dyDescent="0.25">
      <c r="A15" s="407"/>
      <c r="B15" s="418"/>
      <c r="C15" s="33" t="s">
        <v>59</v>
      </c>
      <c r="D15" s="33" t="s">
        <v>161</v>
      </c>
      <c r="E15" s="33" t="s">
        <v>168</v>
      </c>
      <c r="F15" s="33" t="s">
        <v>113</v>
      </c>
      <c r="G15" s="33" t="s">
        <v>58</v>
      </c>
      <c r="H15" s="17" t="s">
        <v>167</v>
      </c>
      <c r="I15" s="346"/>
    </row>
    <row r="16" spans="1:14" ht="21.95" customHeight="1" thickBot="1" x14ac:dyDescent="0.25">
      <c r="A16" s="39" t="s">
        <v>8</v>
      </c>
      <c r="B16" s="1" t="s">
        <v>25</v>
      </c>
      <c r="C16" s="166">
        <v>720000</v>
      </c>
      <c r="D16" s="166">
        <v>720000</v>
      </c>
      <c r="E16" s="13">
        <v>540000</v>
      </c>
      <c r="F16" s="13">
        <f>SUM(H16-D16)</f>
        <v>0</v>
      </c>
      <c r="G16" s="40">
        <f>H16/D16*100</f>
        <v>100</v>
      </c>
      <c r="H16" s="10">
        <f>SUM('Részletes cofogos'!H19)</f>
        <v>720000</v>
      </c>
      <c r="I16" s="346">
        <f t="shared" si="1"/>
        <v>75</v>
      </c>
      <c r="J16" s="44" t="s">
        <v>81</v>
      </c>
    </row>
    <row r="17" spans="1:9" ht="21.95" customHeight="1" thickBot="1" x14ac:dyDescent="0.25">
      <c r="A17" s="408" t="s">
        <v>35</v>
      </c>
      <c r="B17" s="415"/>
      <c r="C17" s="170">
        <f>SUM(C16)</f>
        <v>720000</v>
      </c>
      <c r="D17" s="170">
        <f t="shared" ref="D17:F17" si="3">SUM(D16)</f>
        <v>720000</v>
      </c>
      <c r="E17" s="170">
        <f t="shared" si="3"/>
        <v>540000</v>
      </c>
      <c r="F17" s="170">
        <f t="shared" si="3"/>
        <v>0</v>
      </c>
      <c r="G17" s="47">
        <f>H17/D17*100</f>
        <v>100</v>
      </c>
      <c r="H17" s="48">
        <f>SUM(H16:H16)</f>
        <v>720000</v>
      </c>
      <c r="I17" s="346">
        <f t="shared" si="1"/>
        <v>75</v>
      </c>
    </row>
    <row r="18" spans="1:9" ht="21.95" customHeight="1" x14ac:dyDescent="0.2">
      <c r="A18" s="53" t="s">
        <v>72</v>
      </c>
      <c r="B18" s="51" t="s">
        <v>26</v>
      </c>
      <c r="C18" s="167">
        <v>0</v>
      </c>
      <c r="D18" s="167"/>
      <c r="E18" s="54">
        <f>H18-C18</f>
        <v>0</v>
      </c>
      <c r="F18" s="54"/>
      <c r="G18" s="55">
        <v>0</v>
      </c>
      <c r="H18" s="52">
        <f>SUM('Részletes cofogos'!H22)</f>
        <v>0</v>
      </c>
      <c r="I18" s="346"/>
    </row>
    <row r="19" spans="1:9" ht="21.95" customHeight="1" thickBot="1" x14ac:dyDescent="0.25">
      <c r="A19" s="26" t="s">
        <v>73</v>
      </c>
      <c r="B19" s="4" t="s">
        <v>74</v>
      </c>
      <c r="C19" s="168">
        <v>0</v>
      </c>
      <c r="D19" s="168"/>
      <c r="E19" s="13">
        <f>H19-C19</f>
        <v>0</v>
      </c>
      <c r="F19" s="43"/>
      <c r="G19" s="46">
        <v>0</v>
      </c>
      <c r="H19" s="11">
        <v>0</v>
      </c>
      <c r="I19" s="346"/>
    </row>
    <row r="20" spans="1:9" ht="21.95" customHeight="1" thickBot="1" x14ac:dyDescent="0.25">
      <c r="A20" s="408" t="s">
        <v>36</v>
      </c>
      <c r="B20" s="409"/>
      <c r="C20" s="170">
        <f>SUM(C18:C19)</f>
        <v>0</v>
      </c>
      <c r="D20" s="170"/>
      <c r="E20" s="170">
        <f t="shared" ref="E20" si="4">SUM(E18:E19)</f>
        <v>0</v>
      </c>
      <c r="F20" s="170"/>
      <c r="G20" s="47">
        <v>0</v>
      </c>
      <c r="H20" s="48">
        <f>SUM(H18:H19)</f>
        <v>0</v>
      </c>
      <c r="I20" s="346"/>
    </row>
    <row r="21" spans="1:9" ht="21.95" customHeight="1" x14ac:dyDescent="0.2">
      <c r="A21" s="64" t="s">
        <v>11</v>
      </c>
      <c r="B21" s="7" t="s">
        <v>28</v>
      </c>
      <c r="C21" s="166">
        <v>0</v>
      </c>
      <c r="D21" s="166"/>
      <c r="E21" s="13">
        <f>H21-C21</f>
        <v>0</v>
      </c>
      <c r="F21" s="13"/>
      <c r="G21" s="40">
        <v>0</v>
      </c>
      <c r="H21" s="12">
        <v>0</v>
      </c>
      <c r="I21" s="346"/>
    </row>
    <row r="22" spans="1:9" ht="21.95" customHeight="1" x14ac:dyDescent="0.2">
      <c r="A22" s="39" t="s">
        <v>12</v>
      </c>
      <c r="B22" s="1" t="s">
        <v>29</v>
      </c>
      <c r="C22" s="164">
        <v>0</v>
      </c>
      <c r="D22" s="166"/>
      <c r="E22" s="13">
        <f>H22-C22</f>
        <v>0</v>
      </c>
      <c r="F22" s="13"/>
      <c r="G22" s="40">
        <v>0</v>
      </c>
      <c r="H22" s="10">
        <v>0</v>
      </c>
      <c r="I22" s="346"/>
    </row>
    <row r="23" spans="1:9" ht="21.95" customHeight="1" x14ac:dyDescent="0.2">
      <c r="A23" s="39" t="s">
        <v>82</v>
      </c>
      <c r="B23" s="1" t="s">
        <v>83</v>
      </c>
      <c r="C23" s="164">
        <v>0</v>
      </c>
      <c r="D23" s="166"/>
      <c r="E23" s="13">
        <f>H23-C23</f>
        <v>0</v>
      </c>
      <c r="F23" s="13"/>
      <c r="G23" s="40">
        <v>0</v>
      </c>
      <c r="H23" s="10">
        <v>0</v>
      </c>
      <c r="I23" s="346"/>
    </row>
    <row r="24" spans="1:9" ht="21.95" customHeight="1" thickBot="1" x14ac:dyDescent="0.25">
      <c r="A24" s="26" t="s">
        <v>16</v>
      </c>
      <c r="B24" s="4" t="s">
        <v>32</v>
      </c>
      <c r="C24" s="169">
        <v>0</v>
      </c>
      <c r="D24" s="168"/>
      <c r="E24" s="13">
        <f>H24-C24</f>
        <v>0</v>
      </c>
      <c r="F24" s="13"/>
      <c r="G24" s="40">
        <v>0</v>
      </c>
      <c r="H24" s="11">
        <v>0</v>
      </c>
      <c r="I24" s="346"/>
    </row>
    <row r="25" spans="1:9" ht="21.95" customHeight="1" thickBot="1" x14ac:dyDescent="0.25">
      <c r="A25" s="408" t="s">
        <v>37</v>
      </c>
      <c r="B25" s="409"/>
      <c r="C25" s="171">
        <f>SUM(C21:C24)</f>
        <v>0</v>
      </c>
      <c r="D25" s="171"/>
      <c r="E25" s="56">
        <f>SUM(E21:E24)</f>
        <v>0</v>
      </c>
      <c r="F25" s="56"/>
      <c r="G25" s="47">
        <v>0</v>
      </c>
      <c r="H25" s="48">
        <f>SUM(H21:H24)</f>
        <v>0</v>
      </c>
      <c r="I25" s="346"/>
    </row>
    <row r="26" spans="1:9" ht="21.95" customHeight="1" thickBot="1" x14ac:dyDescent="0.25">
      <c r="A26" s="410" t="s">
        <v>40</v>
      </c>
      <c r="B26" s="411"/>
      <c r="C26" s="165">
        <f>SUM(C17,C20)</f>
        <v>720000</v>
      </c>
      <c r="D26" s="165">
        <f t="shared" ref="D26:E26" si="5">SUM(D17,D20)</f>
        <v>720000</v>
      </c>
      <c r="E26" s="165">
        <f t="shared" si="5"/>
        <v>540000</v>
      </c>
      <c r="F26" s="165"/>
      <c r="G26" s="41">
        <f>H26/D26*100</f>
        <v>100</v>
      </c>
      <c r="H26" s="25">
        <f>H17+H20+H25</f>
        <v>720000</v>
      </c>
      <c r="I26" s="346">
        <f t="shared" si="1"/>
        <v>75</v>
      </c>
    </row>
    <row r="27" spans="1:9" ht="21.95" customHeight="1" x14ac:dyDescent="0.2">
      <c r="A27" s="403" t="s">
        <v>98</v>
      </c>
      <c r="B27" s="404"/>
      <c r="C27" s="404"/>
      <c r="D27" s="404"/>
      <c r="E27" s="404"/>
      <c r="F27" s="404"/>
      <c r="G27" s="404"/>
      <c r="H27" s="405"/>
      <c r="I27" s="346"/>
    </row>
    <row r="28" spans="1:9" ht="21.95" customHeight="1" x14ac:dyDescent="0.2">
      <c r="A28" s="406" t="s">
        <v>0</v>
      </c>
      <c r="B28" s="417" t="s">
        <v>39</v>
      </c>
      <c r="C28" s="412">
        <v>2023</v>
      </c>
      <c r="D28" s="413"/>
      <c r="E28" s="413"/>
      <c r="F28" s="413"/>
      <c r="G28" s="413"/>
      <c r="H28" s="414"/>
      <c r="I28" s="346"/>
    </row>
    <row r="29" spans="1:9" ht="21.95" customHeight="1" thickBot="1" x14ac:dyDescent="0.25">
      <c r="A29" s="407"/>
      <c r="B29" s="418"/>
      <c r="C29" s="33" t="s">
        <v>59</v>
      </c>
      <c r="D29" s="33" t="s">
        <v>161</v>
      </c>
      <c r="E29" s="33" t="s">
        <v>168</v>
      </c>
      <c r="F29" s="33" t="s">
        <v>113</v>
      </c>
      <c r="G29" s="33" t="s">
        <v>58</v>
      </c>
      <c r="H29" s="17" t="s">
        <v>167</v>
      </c>
      <c r="I29" s="346"/>
    </row>
    <row r="30" spans="1:9" ht="21.95" customHeight="1" x14ac:dyDescent="0.2">
      <c r="A30" s="6" t="s">
        <v>4</v>
      </c>
      <c r="B30" s="35" t="s">
        <v>21</v>
      </c>
      <c r="C30" s="172">
        <v>10600000</v>
      </c>
      <c r="D30" s="172">
        <v>10482200</v>
      </c>
      <c r="E30" s="54">
        <v>7779399</v>
      </c>
      <c r="F30" s="13">
        <f>SUM(H30-D30)</f>
        <v>0</v>
      </c>
      <c r="G30" s="40">
        <f>H30/D30*100</f>
        <v>100</v>
      </c>
      <c r="H30" s="12">
        <f>SUM('Részletes cofogos'!H28)</f>
        <v>10482200</v>
      </c>
      <c r="I30" s="346">
        <f>SUM(E30/H30*100)</f>
        <v>74.21532693518536</v>
      </c>
    </row>
    <row r="31" spans="1:9" ht="21.95" customHeight="1" x14ac:dyDescent="0.2">
      <c r="A31" s="64" t="s">
        <v>154</v>
      </c>
      <c r="B31" s="35" t="s">
        <v>155</v>
      </c>
      <c r="C31" s="193">
        <v>460000</v>
      </c>
      <c r="D31" s="193">
        <v>460000</v>
      </c>
      <c r="E31" s="13">
        <v>0</v>
      </c>
      <c r="F31" s="13">
        <f>SUM(H31-D31)</f>
        <v>-250000</v>
      </c>
      <c r="G31" s="40">
        <f t="shared" ref="G31:G38" si="6">H31/D31*100</f>
        <v>45.652173913043477</v>
      </c>
      <c r="H31" s="12">
        <f>SUM('Részletes cofogos'!H31)</f>
        <v>210000</v>
      </c>
      <c r="I31" s="346">
        <f t="shared" si="1"/>
        <v>0</v>
      </c>
    </row>
    <row r="32" spans="1:9" ht="21.95" customHeight="1" x14ac:dyDescent="0.2">
      <c r="A32" s="39" t="s">
        <v>66</v>
      </c>
      <c r="B32" s="36" t="s">
        <v>67</v>
      </c>
      <c r="C32" s="173">
        <v>300000</v>
      </c>
      <c r="D32" s="193">
        <v>300000</v>
      </c>
      <c r="E32" s="13">
        <v>550000</v>
      </c>
      <c r="F32" s="13">
        <f t="shared" ref="F32:F38" si="7">SUM(H32-D32)</f>
        <v>250000</v>
      </c>
      <c r="G32" s="40">
        <f t="shared" si="6"/>
        <v>183.33333333333331</v>
      </c>
      <c r="H32" s="10">
        <f>SUM('Részletes cofogos'!H32)</f>
        <v>550000</v>
      </c>
      <c r="I32" s="346">
        <f t="shared" si="1"/>
        <v>100</v>
      </c>
    </row>
    <row r="33" spans="1:10" ht="21.95" customHeight="1" x14ac:dyDescent="0.2">
      <c r="A33" s="39" t="s">
        <v>5</v>
      </c>
      <c r="B33" s="36" t="s">
        <v>22</v>
      </c>
      <c r="C33" s="173">
        <v>100000</v>
      </c>
      <c r="D33" s="193">
        <v>100000</v>
      </c>
      <c r="E33" s="13">
        <v>0</v>
      </c>
      <c r="F33" s="13">
        <f t="shared" si="7"/>
        <v>0</v>
      </c>
      <c r="G33" s="40">
        <f t="shared" si="6"/>
        <v>100</v>
      </c>
      <c r="H33" s="10">
        <f>SUM('Részletes cofogos'!H33)</f>
        <v>100000</v>
      </c>
      <c r="I33" s="346">
        <f t="shared" si="1"/>
        <v>0</v>
      </c>
    </row>
    <row r="34" spans="1:10" ht="21.95" customHeight="1" x14ac:dyDescent="0.2">
      <c r="A34" s="2" t="s">
        <v>6</v>
      </c>
      <c r="B34" s="36" t="s">
        <v>23</v>
      </c>
      <c r="C34" s="173">
        <v>0</v>
      </c>
      <c r="D34" s="193">
        <v>0</v>
      </c>
      <c r="E34" s="13">
        <v>0</v>
      </c>
      <c r="F34" s="13">
        <f t="shared" si="7"/>
        <v>0</v>
      </c>
      <c r="G34" s="40">
        <v>0</v>
      </c>
      <c r="H34" s="10">
        <f>SUM('Részletes cofogos'!H34)</f>
        <v>0</v>
      </c>
      <c r="I34" s="346"/>
      <c r="J34" s="44" t="s">
        <v>150</v>
      </c>
    </row>
    <row r="35" spans="1:10" ht="21.95" customHeight="1" x14ac:dyDescent="0.2">
      <c r="A35" s="2" t="s">
        <v>7</v>
      </c>
      <c r="B35" s="36" t="s">
        <v>24</v>
      </c>
      <c r="C35" s="173">
        <v>940000</v>
      </c>
      <c r="D35" s="193">
        <v>940000</v>
      </c>
      <c r="E35" s="13">
        <v>448000</v>
      </c>
      <c r="F35" s="13">
        <f t="shared" si="7"/>
        <v>0</v>
      </c>
      <c r="G35" s="40">
        <f t="shared" si="6"/>
        <v>100</v>
      </c>
      <c r="H35" s="10">
        <f>SUM('Részletes cofogos'!H35)</f>
        <v>940000</v>
      </c>
      <c r="I35" s="346">
        <f t="shared" si="1"/>
        <v>47.659574468085111</v>
      </c>
      <c r="J35" s="44" t="s">
        <v>151</v>
      </c>
    </row>
    <row r="36" spans="1:10" ht="21.95" customHeight="1" x14ac:dyDescent="0.2">
      <c r="A36" s="26" t="s">
        <v>110</v>
      </c>
      <c r="B36" s="37" t="s">
        <v>111</v>
      </c>
      <c r="C36" s="176">
        <v>0</v>
      </c>
      <c r="D36" s="323">
        <v>0</v>
      </c>
      <c r="E36" s="13">
        <f t="shared" ref="E36:E37" si="8">H36-C36</f>
        <v>0</v>
      </c>
      <c r="F36" s="13">
        <f t="shared" si="7"/>
        <v>0</v>
      </c>
      <c r="G36" s="40">
        <v>0</v>
      </c>
      <c r="H36" s="11">
        <v>0</v>
      </c>
      <c r="I36" s="346"/>
    </row>
    <row r="37" spans="1:10" ht="21.95" customHeight="1" x14ac:dyDescent="0.2">
      <c r="A37" s="39" t="s">
        <v>8</v>
      </c>
      <c r="B37" s="290" t="s">
        <v>25</v>
      </c>
      <c r="C37" s="173">
        <v>0</v>
      </c>
      <c r="D37" s="173">
        <v>0</v>
      </c>
      <c r="E37" s="9">
        <f t="shared" si="8"/>
        <v>0</v>
      </c>
      <c r="F37" s="13">
        <f t="shared" si="7"/>
        <v>0</v>
      </c>
      <c r="G37" s="40">
        <v>0</v>
      </c>
      <c r="H37" s="10">
        <f>SUM('Részletes cofogos'!H41)</f>
        <v>0</v>
      </c>
      <c r="I37" s="346"/>
    </row>
    <row r="38" spans="1:10" ht="21.95" customHeight="1" thickBot="1" x14ac:dyDescent="0.25">
      <c r="A38" s="291" t="s">
        <v>158</v>
      </c>
      <c r="B38" s="292" t="s">
        <v>160</v>
      </c>
      <c r="C38" s="293">
        <v>30000</v>
      </c>
      <c r="D38" s="169">
        <v>30000</v>
      </c>
      <c r="E38" s="9">
        <v>21288</v>
      </c>
      <c r="F38" s="13">
        <f t="shared" si="7"/>
        <v>0</v>
      </c>
      <c r="G38" s="40">
        <f t="shared" si="6"/>
        <v>100</v>
      </c>
      <c r="H38" s="191">
        <f>SUM('Részletes cofogos'!H42)</f>
        <v>30000</v>
      </c>
      <c r="I38" s="346">
        <f t="shared" si="1"/>
        <v>70.960000000000008</v>
      </c>
    </row>
    <row r="39" spans="1:10" ht="21.95" customHeight="1" thickBot="1" x14ac:dyDescent="0.25">
      <c r="A39" s="408" t="s">
        <v>35</v>
      </c>
      <c r="B39" s="409"/>
      <c r="C39" s="170">
        <f>SUM(C30:C38)</f>
        <v>12430000</v>
      </c>
      <c r="D39" s="325">
        <f t="shared" ref="D39:F39" si="9">SUM(D30:D38)</f>
        <v>12312200</v>
      </c>
      <c r="E39" s="325">
        <f t="shared" si="9"/>
        <v>8798687</v>
      </c>
      <c r="F39" s="170">
        <f t="shared" si="9"/>
        <v>0</v>
      </c>
      <c r="G39" s="47">
        <f>H39/D39*100</f>
        <v>100</v>
      </c>
      <c r="H39" s="48">
        <f>SUM(H30:H38)</f>
        <v>12312200</v>
      </c>
      <c r="I39" s="346">
        <f t="shared" si="1"/>
        <v>71.46315849320186</v>
      </c>
    </row>
    <row r="40" spans="1:10" ht="21.95" customHeight="1" x14ac:dyDescent="0.2">
      <c r="A40" s="6" t="s">
        <v>9</v>
      </c>
      <c r="B40" s="35" t="s">
        <v>26</v>
      </c>
      <c r="C40" s="172">
        <v>1630000</v>
      </c>
      <c r="D40" s="172">
        <v>1614686</v>
      </c>
      <c r="E40" s="54">
        <v>1141747</v>
      </c>
      <c r="F40" s="13">
        <f>SUM(H40-D40)</f>
        <v>0</v>
      </c>
      <c r="G40" s="40">
        <f>H40/D40*100</f>
        <v>100</v>
      </c>
      <c r="H40" s="12">
        <f>SUM('Részletes cofogos'!H44)</f>
        <v>1614686</v>
      </c>
      <c r="I40" s="346">
        <f t="shared" si="1"/>
        <v>70.710156649652006</v>
      </c>
    </row>
    <row r="41" spans="1:10" ht="21.95" customHeight="1" thickBot="1" x14ac:dyDescent="0.25">
      <c r="A41" s="3" t="s">
        <v>10</v>
      </c>
      <c r="B41" s="37" t="s">
        <v>27</v>
      </c>
      <c r="C41" s="174">
        <v>80000</v>
      </c>
      <c r="D41" s="324">
        <v>80000</v>
      </c>
      <c r="E41" s="283">
        <v>88430</v>
      </c>
      <c r="F41" s="13">
        <f>SUM(H41-D41)</f>
        <v>0</v>
      </c>
      <c r="G41" s="40">
        <f>H41/D41*100</f>
        <v>100</v>
      </c>
      <c r="H41" s="11">
        <f>SUM('Részletes cofogos'!H45)</f>
        <v>80000</v>
      </c>
      <c r="I41" s="346">
        <f t="shared" si="1"/>
        <v>110.53749999999999</v>
      </c>
    </row>
    <row r="42" spans="1:10" ht="21.95" customHeight="1" thickBot="1" x14ac:dyDescent="0.25">
      <c r="A42" s="426" t="s">
        <v>68</v>
      </c>
      <c r="B42" s="409"/>
      <c r="C42" s="170">
        <f>SUM(C40:C41)</f>
        <v>1710000</v>
      </c>
      <c r="D42" s="325">
        <f t="shared" ref="D42:F42" si="10">SUM(D40:D41)</f>
        <v>1694686</v>
      </c>
      <c r="E42" s="325">
        <f t="shared" si="10"/>
        <v>1230177</v>
      </c>
      <c r="F42" s="171">
        <f t="shared" si="10"/>
        <v>0</v>
      </c>
      <c r="G42" s="47">
        <f>H42/D42*100</f>
        <v>100</v>
      </c>
      <c r="H42" s="48">
        <f>SUM(H40:H41)</f>
        <v>1694686</v>
      </c>
      <c r="I42" s="346">
        <f t="shared" si="1"/>
        <v>72.590261558778437</v>
      </c>
    </row>
    <row r="43" spans="1:10" ht="21.95" customHeight="1" x14ac:dyDescent="0.2">
      <c r="A43" s="50" t="s">
        <v>11</v>
      </c>
      <c r="B43" s="34" t="s">
        <v>28</v>
      </c>
      <c r="C43" s="163">
        <v>50000</v>
      </c>
      <c r="D43" s="163">
        <v>50000</v>
      </c>
      <c r="E43" s="9">
        <v>6971</v>
      </c>
      <c r="F43" s="9">
        <f>SUM(H43-D43)</f>
        <v>0</v>
      </c>
      <c r="G43" s="45">
        <f>H43/D43*100</f>
        <v>100</v>
      </c>
      <c r="H43" s="10">
        <f>SUM('Részletes cofogos'!H47)</f>
        <v>50000</v>
      </c>
      <c r="I43" s="346">
        <f t="shared" si="1"/>
        <v>13.941999999999998</v>
      </c>
    </row>
    <row r="44" spans="1:10" ht="21.95" customHeight="1" x14ac:dyDescent="0.2">
      <c r="A44" s="2" t="s">
        <v>12</v>
      </c>
      <c r="B44" s="34" t="s">
        <v>29</v>
      </c>
      <c r="C44" s="163">
        <v>1400000</v>
      </c>
      <c r="D44" s="163">
        <v>1400000</v>
      </c>
      <c r="E44" s="9">
        <v>675111</v>
      </c>
      <c r="F44" s="9">
        <f t="shared" ref="F44:F52" si="11">SUM(H44-D44)</f>
        <v>90000</v>
      </c>
      <c r="G44" s="45">
        <f t="shared" ref="G44:G53" si="12">H44/D44*100</f>
        <v>106.42857142857143</v>
      </c>
      <c r="H44" s="10">
        <f>SUM('Részletes cofogos'!H50)</f>
        <v>1490000</v>
      </c>
      <c r="I44" s="346">
        <f t="shared" si="1"/>
        <v>45.309463087248318</v>
      </c>
    </row>
    <row r="45" spans="1:10" ht="21.95" customHeight="1" x14ac:dyDescent="0.2">
      <c r="A45" s="39" t="s">
        <v>69</v>
      </c>
      <c r="B45" s="34" t="s">
        <v>70</v>
      </c>
      <c r="C45" s="163">
        <v>100000</v>
      </c>
      <c r="D45" s="163">
        <v>100000</v>
      </c>
      <c r="E45" s="9">
        <v>82200</v>
      </c>
      <c r="F45" s="9">
        <f t="shared" si="11"/>
        <v>20000</v>
      </c>
      <c r="G45" s="45">
        <f t="shared" si="12"/>
        <v>120</v>
      </c>
      <c r="H45" s="10">
        <f>SUM('Részletes cofogos'!H54)</f>
        <v>120000</v>
      </c>
      <c r="I45" s="346">
        <f t="shared" si="1"/>
        <v>68.5</v>
      </c>
    </row>
    <row r="46" spans="1:10" ht="21.95" customHeight="1" x14ac:dyDescent="0.2">
      <c r="A46" s="24" t="s">
        <v>13</v>
      </c>
      <c r="B46" s="1" t="s">
        <v>71</v>
      </c>
      <c r="C46" s="164">
        <v>84000</v>
      </c>
      <c r="D46" s="164">
        <v>84000</v>
      </c>
      <c r="E46" s="9">
        <v>48332</v>
      </c>
      <c r="F46" s="9">
        <f t="shared" si="11"/>
        <v>0</v>
      </c>
      <c r="G46" s="45">
        <f t="shared" si="12"/>
        <v>100</v>
      </c>
      <c r="H46" s="10">
        <f>SUM('Részletes cofogos'!H58)</f>
        <v>84000</v>
      </c>
      <c r="I46" s="346">
        <f t="shared" si="1"/>
        <v>57.538095238095231</v>
      </c>
    </row>
    <row r="47" spans="1:10" ht="21.95" customHeight="1" x14ac:dyDescent="0.2">
      <c r="A47" s="26" t="s">
        <v>84</v>
      </c>
      <c r="B47" s="1" t="s">
        <v>126</v>
      </c>
      <c r="C47" s="164">
        <v>2650000</v>
      </c>
      <c r="D47" s="164">
        <v>3144000</v>
      </c>
      <c r="E47" s="9">
        <v>1759377</v>
      </c>
      <c r="F47" s="9">
        <f t="shared" si="11"/>
        <v>0</v>
      </c>
      <c r="G47" s="45">
        <f t="shared" si="12"/>
        <v>100</v>
      </c>
      <c r="H47" s="10">
        <f>SUM('Részletes cofogos'!H60)</f>
        <v>3144000</v>
      </c>
      <c r="I47" s="346">
        <f t="shared" si="1"/>
        <v>55.95982824427481</v>
      </c>
    </row>
    <row r="48" spans="1:10" ht="21.95" customHeight="1" x14ac:dyDescent="0.2">
      <c r="A48" s="39" t="s">
        <v>82</v>
      </c>
      <c r="B48" s="1" t="s">
        <v>83</v>
      </c>
      <c r="C48" s="164">
        <v>50000</v>
      </c>
      <c r="D48" s="164">
        <v>45000</v>
      </c>
      <c r="E48" s="9">
        <v>142800</v>
      </c>
      <c r="F48" s="9">
        <f t="shared" si="11"/>
        <v>208500</v>
      </c>
      <c r="G48" s="45">
        <f t="shared" si="12"/>
        <v>563.33333333333337</v>
      </c>
      <c r="H48" s="10">
        <f>SUM('Részletes cofogos'!H64)</f>
        <v>253500</v>
      </c>
      <c r="I48" s="346">
        <f t="shared" si="1"/>
        <v>56.331360946745555</v>
      </c>
    </row>
    <row r="49" spans="1:9" ht="21.95" customHeight="1" x14ac:dyDescent="0.2">
      <c r="A49" s="39" t="s">
        <v>127</v>
      </c>
      <c r="B49" s="34" t="s">
        <v>129</v>
      </c>
      <c r="C49" s="163">
        <v>0</v>
      </c>
      <c r="D49" s="163">
        <v>0</v>
      </c>
      <c r="E49" s="9">
        <v>0</v>
      </c>
      <c r="F49" s="9">
        <f t="shared" si="11"/>
        <v>0</v>
      </c>
      <c r="G49" s="45">
        <v>0</v>
      </c>
      <c r="H49" s="10">
        <f>SUM('Részletes cofogos'!H68)</f>
        <v>0</v>
      </c>
      <c r="I49" s="346"/>
    </row>
    <row r="50" spans="1:9" ht="21.95" customHeight="1" x14ac:dyDescent="0.2">
      <c r="A50" s="2" t="s">
        <v>14</v>
      </c>
      <c r="B50" s="34" t="s">
        <v>30</v>
      </c>
      <c r="C50" s="163">
        <v>800000</v>
      </c>
      <c r="D50" s="163">
        <v>800000</v>
      </c>
      <c r="E50" s="9">
        <v>109344</v>
      </c>
      <c r="F50" s="9">
        <f t="shared" si="11"/>
        <v>-126500</v>
      </c>
      <c r="G50" s="45">
        <f t="shared" si="12"/>
        <v>84.1875</v>
      </c>
      <c r="H50" s="10">
        <f>SUM('Részletes cofogos'!H69)</f>
        <v>673500</v>
      </c>
      <c r="I50" s="346">
        <f t="shared" si="1"/>
        <v>16.235189309576835</v>
      </c>
    </row>
    <row r="51" spans="1:9" ht="21.95" customHeight="1" x14ac:dyDescent="0.2">
      <c r="A51" s="6" t="s">
        <v>15</v>
      </c>
      <c r="B51" s="1" t="s">
        <v>31</v>
      </c>
      <c r="C51" s="164">
        <v>150000</v>
      </c>
      <c r="D51" s="164">
        <v>150000</v>
      </c>
      <c r="E51" s="9">
        <v>152952</v>
      </c>
      <c r="F51" s="9">
        <f t="shared" si="11"/>
        <v>3000</v>
      </c>
      <c r="G51" s="45">
        <f t="shared" si="12"/>
        <v>102</v>
      </c>
      <c r="H51" s="10">
        <f>SUM('Részletes cofogos'!H74)</f>
        <v>153000</v>
      </c>
      <c r="I51" s="346">
        <f t="shared" si="1"/>
        <v>99.968627450980392</v>
      </c>
    </row>
    <row r="52" spans="1:9" ht="21.95" customHeight="1" x14ac:dyDescent="0.2">
      <c r="A52" s="2" t="s">
        <v>16</v>
      </c>
      <c r="B52" s="1" t="s">
        <v>32</v>
      </c>
      <c r="C52" s="164">
        <v>1300000</v>
      </c>
      <c r="D52" s="164">
        <v>1300000</v>
      </c>
      <c r="E52" s="9">
        <v>689487</v>
      </c>
      <c r="F52" s="9">
        <f t="shared" si="11"/>
        <v>0</v>
      </c>
      <c r="G52" s="45">
        <f t="shared" si="12"/>
        <v>100</v>
      </c>
      <c r="H52" s="10">
        <f>SUM('Részletes cofogos'!H75)</f>
        <v>1300000</v>
      </c>
      <c r="I52" s="346">
        <f t="shared" si="1"/>
        <v>53.037461538461542</v>
      </c>
    </row>
    <row r="53" spans="1:9" ht="21.75" customHeight="1" thickBot="1" x14ac:dyDescent="0.25">
      <c r="A53" s="3" t="s">
        <v>17</v>
      </c>
      <c r="B53" s="4" t="s">
        <v>61</v>
      </c>
      <c r="C53" s="169">
        <v>5000</v>
      </c>
      <c r="D53" s="169">
        <v>10000</v>
      </c>
      <c r="E53" s="9">
        <v>13271</v>
      </c>
      <c r="F53" s="9">
        <f>SUM(H53-D53)</f>
        <v>5000</v>
      </c>
      <c r="G53" s="45">
        <f t="shared" si="12"/>
        <v>150</v>
      </c>
      <c r="H53" s="11">
        <f>SUM('Részletes cofogos'!H76)</f>
        <v>15000</v>
      </c>
      <c r="I53" s="346">
        <f t="shared" si="1"/>
        <v>88.473333333333343</v>
      </c>
    </row>
    <row r="54" spans="1:9" ht="21.95" customHeight="1" thickBot="1" x14ac:dyDescent="0.25">
      <c r="A54" s="426" t="s">
        <v>37</v>
      </c>
      <c r="B54" s="409"/>
      <c r="C54" s="170">
        <f>SUM(C43:C53)</f>
        <v>6589000</v>
      </c>
      <c r="D54" s="170">
        <f t="shared" ref="D54:F54" si="13">SUM(D43:D53)</f>
        <v>7083000</v>
      </c>
      <c r="E54" s="170">
        <f t="shared" si="13"/>
        <v>3679845</v>
      </c>
      <c r="F54" s="170">
        <f t="shared" si="13"/>
        <v>200000</v>
      </c>
      <c r="G54" s="47">
        <f t="shared" ref="G54" si="14">H54/C54*100</f>
        <v>110.53270602519349</v>
      </c>
      <c r="H54" s="48">
        <f>SUM(H43:H53)</f>
        <v>7283000</v>
      </c>
      <c r="I54" s="346">
        <f t="shared" si="1"/>
        <v>50.526500068653021</v>
      </c>
    </row>
    <row r="55" spans="1:9" ht="21.95" customHeight="1" x14ac:dyDescent="0.2">
      <c r="A55" s="53" t="s">
        <v>91</v>
      </c>
      <c r="B55" s="66" t="s">
        <v>92</v>
      </c>
      <c r="C55" s="167">
        <v>200000</v>
      </c>
      <c r="D55" s="167">
        <v>200000</v>
      </c>
      <c r="E55" s="54">
        <f t="shared" ref="E55:E56" si="15">H55-C55</f>
        <v>0</v>
      </c>
      <c r="F55" s="54">
        <f>SUM(H55-D55)</f>
        <v>0</v>
      </c>
      <c r="G55" s="55">
        <f>SUM(H55/D55*100)</f>
        <v>100</v>
      </c>
      <c r="H55" s="149">
        <f>SUM('Részletes cofogos'!H80)</f>
        <v>200000</v>
      </c>
      <c r="I55" s="346">
        <f t="shared" si="1"/>
        <v>0</v>
      </c>
    </row>
    <row r="56" spans="1:9" ht="21.95" customHeight="1" thickBot="1" x14ac:dyDescent="0.25">
      <c r="A56" s="39" t="s">
        <v>93</v>
      </c>
      <c r="B56" s="1" t="s">
        <v>95</v>
      </c>
      <c r="C56" s="164">
        <v>54000</v>
      </c>
      <c r="D56" s="166">
        <v>54000</v>
      </c>
      <c r="E56" s="13">
        <f t="shared" si="15"/>
        <v>0</v>
      </c>
      <c r="F56" s="13">
        <f>SUM(H56-D56)</f>
        <v>0</v>
      </c>
      <c r="G56" s="40">
        <f>SUM(H56/D56*100)</f>
        <v>100</v>
      </c>
      <c r="H56" s="12">
        <f>SUM('Részletes cofogos'!H81)</f>
        <v>54000</v>
      </c>
      <c r="I56" s="346">
        <f t="shared" si="1"/>
        <v>0</v>
      </c>
    </row>
    <row r="57" spans="1:9" ht="21.95" customHeight="1" thickBot="1" x14ac:dyDescent="0.25">
      <c r="A57" s="426" t="s">
        <v>94</v>
      </c>
      <c r="B57" s="409"/>
      <c r="C57" s="170">
        <f>SUM(C55:C56)</f>
        <v>254000</v>
      </c>
      <c r="D57" s="170">
        <f t="shared" ref="D57:F57" si="16">SUM(D55:D56)</f>
        <v>254000</v>
      </c>
      <c r="E57" s="170">
        <f t="shared" si="16"/>
        <v>0</v>
      </c>
      <c r="F57" s="170">
        <f t="shared" si="16"/>
        <v>0</v>
      </c>
      <c r="G57" s="47">
        <f>SUM(H54/D54*100)</f>
        <v>102.82366228999011</v>
      </c>
      <c r="H57" s="48">
        <f>SUM(H55:H56)</f>
        <v>254000</v>
      </c>
      <c r="I57" s="346">
        <f t="shared" si="1"/>
        <v>0</v>
      </c>
    </row>
    <row r="58" spans="1:9" ht="21.95" customHeight="1" thickBot="1" x14ac:dyDescent="0.25">
      <c r="A58" s="424" t="s">
        <v>40</v>
      </c>
      <c r="B58" s="425"/>
      <c r="C58" s="175">
        <f>SUM(C39,C42,C54,C57)</f>
        <v>20983000</v>
      </c>
      <c r="D58" s="175">
        <f t="shared" ref="D58:F58" si="17">SUM(D39,D42,D54,D57)</f>
        <v>21343886</v>
      </c>
      <c r="E58" s="175">
        <f t="shared" si="17"/>
        <v>13708709</v>
      </c>
      <c r="F58" s="175">
        <f t="shared" si="17"/>
        <v>200000</v>
      </c>
      <c r="G58" s="285">
        <f>H58/D58*100</f>
        <v>100.93703648904422</v>
      </c>
      <c r="H58" s="25">
        <f>H39+H42+H54+H57</f>
        <v>21543886</v>
      </c>
      <c r="I58" s="346">
        <f t="shared" si="1"/>
        <v>63.631551893655583</v>
      </c>
    </row>
    <row r="59" spans="1:9" ht="21.95" customHeight="1" x14ac:dyDescent="0.2">
      <c r="A59" s="403" t="s">
        <v>98</v>
      </c>
      <c r="B59" s="404"/>
      <c r="C59" s="404"/>
      <c r="D59" s="404"/>
      <c r="E59" s="404"/>
      <c r="F59" s="404"/>
      <c r="G59" s="404"/>
      <c r="H59" s="405"/>
      <c r="I59" s="346"/>
    </row>
    <row r="60" spans="1:9" ht="21.95" customHeight="1" x14ac:dyDescent="0.2">
      <c r="A60" s="406" t="s">
        <v>0</v>
      </c>
      <c r="B60" s="417" t="s">
        <v>39</v>
      </c>
      <c r="C60" s="412">
        <v>2023</v>
      </c>
      <c r="D60" s="413"/>
      <c r="E60" s="413"/>
      <c r="F60" s="413"/>
      <c r="G60" s="413"/>
      <c r="H60" s="414"/>
      <c r="I60" s="346"/>
    </row>
    <row r="61" spans="1:9" ht="21.95" customHeight="1" thickBot="1" x14ac:dyDescent="0.25">
      <c r="A61" s="407"/>
      <c r="B61" s="418"/>
      <c r="C61" s="33" t="s">
        <v>59</v>
      </c>
      <c r="D61" s="33" t="s">
        <v>161</v>
      </c>
      <c r="E61" s="33" t="s">
        <v>168</v>
      </c>
      <c r="F61" s="33" t="s">
        <v>113</v>
      </c>
      <c r="G61" s="33" t="s">
        <v>58</v>
      </c>
      <c r="H61" s="17" t="s">
        <v>161</v>
      </c>
      <c r="I61" s="346"/>
    </row>
    <row r="62" spans="1:9" ht="21.95" customHeight="1" thickBot="1" x14ac:dyDescent="0.25">
      <c r="A62" s="6" t="s">
        <v>4</v>
      </c>
      <c r="B62" s="35" t="s">
        <v>21</v>
      </c>
      <c r="C62" s="172">
        <v>0</v>
      </c>
      <c r="D62" s="172">
        <v>117800</v>
      </c>
      <c r="E62" s="54">
        <v>117800</v>
      </c>
      <c r="F62" s="13">
        <f>SUM(H62-D62)</f>
        <v>0</v>
      </c>
      <c r="G62" s="40">
        <f>SUM(H62/D62*100)</f>
        <v>100</v>
      </c>
      <c r="H62" s="12">
        <f>SUM('Részletes cofogos'!H87)</f>
        <v>117800</v>
      </c>
      <c r="I62" s="346">
        <f t="shared" si="1"/>
        <v>100</v>
      </c>
    </row>
    <row r="63" spans="1:9" ht="21.95" customHeight="1" thickBot="1" x14ac:dyDescent="0.25">
      <c r="A63" s="408" t="s">
        <v>35</v>
      </c>
      <c r="B63" s="427"/>
      <c r="C63" s="225">
        <f>SUM(C62)</f>
        <v>0</v>
      </c>
      <c r="D63" s="325">
        <f t="shared" ref="D63:F63" si="18">SUM(D62)</f>
        <v>117800</v>
      </c>
      <c r="E63" s="325">
        <f t="shared" si="18"/>
        <v>117800</v>
      </c>
      <c r="F63" s="170">
        <f t="shared" si="18"/>
        <v>0</v>
      </c>
      <c r="G63" s="47">
        <f>SUM(H63/D63*100)</f>
        <v>100</v>
      </c>
      <c r="H63" s="48">
        <f>SUM(H62)</f>
        <v>117800</v>
      </c>
      <c r="I63" s="346">
        <f t="shared" si="1"/>
        <v>100</v>
      </c>
    </row>
    <row r="64" spans="1:9" ht="21.95" customHeight="1" thickBot="1" x14ac:dyDescent="0.25">
      <c r="A64" s="6" t="s">
        <v>9</v>
      </c>
      <c r="B64" s="35" t="s">
        <v>26</v>
      </c>
      <c r="C64" s="172">
        <v>0</v>
      </c>
      <c r="D64" s="172">
        <v>15314</v>
      </c>
      <c r="E64" s="54">
        <v>15314</v>
      </c>
      <c r="F64" s="13">
        <f>SUM(H64-D64)</f>
        <v>0</v>
      </c>
      <c r="G64" s="40">
        <f>SUM(H64/D64*100)</f>
        <v>100</v>
      </c>
      <c r="H64" s="12">
        <f>SUM('Részletes cofogos'!H89)</f>
        <v>15314</v>
      </c>
      <c r="I64" s="346">
        <f t="shared" si="1"/>
        <v>100</v>
      </c>
    </row>
    <row r="65" spans="1:9" ht="21.95" customHeight="1" thickBot="1" x14ac:dyDescent="0.25">
      <c r="A65" s="426" t="s">
        <v>68</v>
      </c>
      <c r="B65" s="427"/>
      <c r="C65" s="225">
        <f>SUM(C64)</f>
        <v>0</v>
      </c>
      <c r="D65" s="170">
        <f t="shared" ref="D65:F65" si="19">SUM(D64)</f>
        <v>15314</v>
      </c>
      <c r="E65" s="170">
        <f t="shared" si="19"/>
        <v>15314</v>
      </c>
      <c r="F65" s="170">
        <f t="shared" si="19"/>
        <v>0</v>
      </c>
      <c r="G65" s="47">
        <f>SUM(H65/D65*100)</f>
        <v>100</v>
      </c>
      <c r="H65" s="48">
        <f>SUM(H64)</f>
        <v>15314</v>
      </c>
      <c r="I65" s="346">
        <f t="shared" si="1"/>
        <v>100</v>
      </c>
    </row>
    <row r="66" spans="1:9" ht="21.95" customHeight="1" thickBot="1" x14ac:dyDescent="0.25">
      <c r="A66" s="424" t="s">
        <v>40</v>
      </c>
      <c r="B66" s="425"/>
      <c r="C66" s="175">
        <f>SUM(C63+C65)</f>
        <v>0</v>
      </c>
      <c r="D66" s="175">
        <f t="shared" ref="D66:F66" si="20">SUM(D63+D65)</f>
        <v>133114</v>
      </c>
      <c r="E66" s="175">
        <f t="shared" si="20"/>
        <v>133114</v>
      </c>
      <c r="F66" s="175">
        <f t="shared" si="20"/>
        <v>0</v>
      </c>
      <c r="G66" s="285">
        <f>SUM(H66/D66*100)</f>
        <v>100</v>
      </c>
      <c r="H66" s="25">
        <f>SUM(H63+H65)</f>
        <v>133114</v>
      </c>
      <c r="I66" s="346">
        <f t="shared" si="1"/>
        <v>100</v>
      </c>
    </row>
    <row r="67" spans="1:9" ht="21.95" customHeight="1" thickBot="1" x14ac:dyDescent="0.25">
      <c r="A67" s="21"/>
      <c r="E67" s="22"/>
      <c r="F67" s="22"/>
      <c r="G67" s="22"/>
      <c r="H67" s="23"/>
      <c r="I67" s="346"/>
    </row>
    <row r="68" spans="1:9" ht="21.95" customHeight="1" thickBot="1" x14ac:dyDescent="0.25">
      <c r="A68" s="18" t="s">
        <v>50</v>
      </c>
      <c r="B68" s="19"/>
      <c r="C68" s="287">
        <f>C12+C26+C58+C66</f>
        <v>22303000</v>
      </c>
      <c r="D68" s="287">
        <f>D12+D26+D58+D66</f>
        <v>22797000</v>
      </c>
      <c r="E68" s="287">
        <f t="shared" ref="E68:F68" si="21">E12+E26+E58+E66</f>
        <v>14394793</v>
      </c>
      <c r="F68" s="287">
        <f t="shared" si="21"/>
        <v>200000</v>
      </c>
      <c r="G68" s="286">
        <f>SUM(H68/D68*100)</f>
        <v>100.87730841777427</v>
      </c>
      <c r="H68" s="284">
        <f>H12+H26+H58+H66</f>
        <v>22997000</v>
      </c>
      <c r="I68" s="346">
        <f t="shared" si="1"/>
        <v>62.594220985345913</v>
      </c>
    </row>
    <row r="70" spans="1:9" x14ac:dyDescent="0.2">
      <c r="H70" s="22">
        <f>SUM(H68-'Részletes cofogos'!H92)</f>
        <v>0</v>
      </c>
    </row>
  </sheetData>
  <autoFilter ref="A1:A68" xr:uid="{00000000-0009-0000-0000-000004000000}"/>
  <mergeCells count="33">
    <mergeCell ref="A63:B63"/>
    <mergeCell ref="A65:B65"/>
    <mergeCell ref="A66:B66"/>
    <mergeCell ref="A60:A61"/>
    <mergeCell ref="B60:B61"/>
    <mergeCell ref="A59:H59"/>
    <mergeCell ref="C60:H60"/>
    <mergeCell ref="A58:B58"/>
    <mergeCell ref="A57:B57"/>
    <mergeCell ref="B28:B29"/>
    <mergeCell ref="A39:B39"/>
    <mergeCell ref="A42:B42"/>
    <mergeCell ref="A54:B54"/>
    <mergeCell ref="A17:B17"/>
    <mergeCell ref="E1:H1"/>
    <mergeCell ref="A2:H2"/>
    <mergeCell ref="A3:H3"/>
    <mergeCell ref="A5:H5"/>
    <mergeCell ref="B7:B8"/>
    <mergeCell ref="A6:H6"/>
    <mergeCell ref="A7:A8"/>
    <mergeCell ref="A12:B12"/>
    <mergeCell ref="A14:A15"/>
    <mergeCell ref="B14:B15"/>
    <mergeCell ref="A13:H13"/>
    <mergeCell ref="C7:H7"/>
    <mergeCell ref="C14:H14"/>
    <mergeCell ref="A27:H27"/>
    <mergeCell ref="A28:A29"/>
    <mergeCell ref="A20:B20"/>
    <mergeCell ref="A25:B25"/>
    <mergeCell ref="A26:B26"/>
    <mergeCell ref="C28:H28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56" orientation="portrait" r:id="rId1"/>
  <headerFooter alignWithMargins="0">
    <oddHeader>&amp;LKálmánfy Béla Művelődési Ház és Könyvtár&amp;RIII/3.a) számú melléklet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2"/>
  <sheetViews>
    <sheetView topLeftCell="A46" workbookViewId="0">
      <selection activeCell="H74" sqref="H74"/>
    </sheetView>
  </sheetViews>
  <sheetFormatPr defaultRowHeight="12.75" x14ac:dyDescent="0.2"/>
  <cols>
    <col min="2" max="2" width="14.5703125" bestFit="1" customWidth="1"/>
    <col min="3" max="5" width="10.140625" bestFit="1" customWidth="1"/>
    <col min="7" max="7" width="6.5703125" bestFit="1" customWidth="1"/>
    <col min="8" max="8" width="11.28515625" bestFit="1" customWidth="1"/>
    <col min="9" max="9" width="9.85546875" bestFit="1" customWidth="1"/>
    <col min="10" max="10" width="15.140625" bestFit="1" customWidth="1"/>
  </cols>
  <sheetData>
    <row r="1" spans="1:11" x14ac:dyDescent="0.2">
      <c r="A1" s="371" t="s">
        <v>170</v>
      </c>
      <c r="B1" s="371"/>
      <c r="C1" s="371"/>
      <c r="D1" s="371"/>
      <c r="E1" s="371"/>
      <c r="F1" s="371"/>
      <c r="G1" s="371"/>
      <c r="H1" s="371"/>
    </row>
    <row r="2" spans="1:11" x14ac:dyDescent="0.2">
      <c r="A2" s="371" t="s">
        <v>116</v>
      </c>
      <c r="B2" s="371"/>
      <c r="C2" s="371"/>
      <c r="D2" s="371"/>
      <c r="E2" s="371"/>
      <c r="F2" s="371"/>
      <c r="G2" s="371"/>
      <c r="H2" s="371"/>
    </row>
    <row r="3" spans="1:11" x14ac:dyDescent="0.2">
      <c r="H3" s="8" t="s">
        <v>49</v>
      </c>
    </row>
    <row r="4" spans="1:11" ht="13.5" thickBot="1" x14ac:dyDescent="0.25">
      <c r="A4" s="416" t="s">
        <v>41</v>
      </c>
      <c r="B4" s="416"/>
      <c r="C4" s="416"/>
      <c r="D4" s="416"/>
      <c r="E4" s="416"/>
      <c r="F4" s="416"/>
      <c r="G4" s="416"/>
      <c r="H4" s="416"/>
    </row>
    <row r="5" spans="1:11" x14ac:dyDescent="0.2">
      <c r="A5" s="403" t="s">
        <v>79</v>
      </c>
      <c r="B5" s="404"/>
      <c r="C5" s="404"/>
      <c r="D5" s="404"/>
      <c r="E5" s="404"/>
      <c r="F5" s="404"/>
      <c r="G5" s="404"/>
      <c r="H5" s="405"/>
    </row>
    <row r="6" spans="1:11" x14ac:dyDescent="0.2">
      <c r="A6" s="406" t="s">
        <v>0</v>
      </c>
      <c r="B6" s="417" t="s">
        <v>39</v>
      </c>
      <c r="C6" s="412"/>
      <c r="D6" s="434"/>
      <c r="E6" s="434"/>
      <c r="F6" s="434"/>
      <c r="G6" s="435"/>
      <c r="H6" s="16">
        <v>2023</v>
      </c>
    </row>
    <row r="7" spans="1:11" ht="21.75" thickBot="1" x14ac:dyDescent="0.25">
      <c r="A7" s="407"/>
      <c r="B7" s="418"/>
      <c r="C7" s="33"/>
      <c r="D7" s="162"/>
      <c r="E7" s="162"/>
      <c r="F7" s="33"/>
      <c r="G7" s="33"/>
      <c r="H7" s="17" t="s">
        <v>167</v>
      </c>
    </row>
    <row r="8" spans="1:11" x14ac:dyDescent="0.2">
      <c r="A8" s="206" t="s">
        <v>11</v>
      </c>
      <c r="B8" s="446" t="s">
        <v>28</v>
      </c>
      <c r="C8" s="447"/>
      <c r="D8" s="447"/>
      <c r="E8" s="448"/>
      <c r="F8" s="202"/>
      <c r="G8" s="207"/>
      <c r="H8" s="199">
        <f>SUM(H9:H10)</f>
        <v>559905</v>
      </c>
      <c r="J8" t="s">
        <v>118</v>
      </c>
      <c r="K8" s="228">
        <f>SUM('Bevételek COFOG'!H11*0.1)</f>
        <v>580027.30000000005</v>
      </c>
    </row>
    <row r="9" spans="1:11" x14ac:dyDescent="0.2">
      <c r="A9" s="442" t="s">
        <v>117</v>
      </c>
      <c r="B9" s="449"/>
      <c r="C9" s="449"/>
      <c r="D9" s="449"/>
      <c r="E9" s="443"/>
      <c r="F9" s="9"/>
      <c r="G9" s="45">
        <v>1</v>
      </c>
      <c r="H9" s="10">
        <v>55000</v>
      </c>
      <c r="I9" s="227">
        <v>0.27</v>
      </c>
      <c r="J9">
        <f>SUM(H9*I9)</f>
        <v>14850.000000000002</v>
      </c>
    </row>
    <row r="10" spans="1:11" x14ac:dyDescent="0.2">
      <c r="A10" s="442" t="s">
        <v>136</v>
      </c>
      <c r="B10" s="449"/>
      <c r="C10" s="449"/>
      <c r="D10" s="449"/>
      <c r="E10" s="443"/>
      <c r="F10" s="9"/>
      <c r="G10" s="45">
        <v>1</v>
      </c>
      <c r="H10" s="10">
        <v>504905</v>
      </c>
      <c r="I10" s="227">
        <v>0.05</v>
      </c>
      <c r="J10">
        <f>SUM(H10*I10)</f>
        <v>25245.25</v>
      </c>
    </row>
    <row r="11" spans="1:11" x14ac:dyDescent="0.2">
      <c r="A11" s="459"/>
      <c r="B11" s="460"/>
      <c r="C11" s="460"/>
      <c r="D11" s="460"/>
      <c r="E11" s="461"/>
      <c r="F11" s="9"/>
      <c r="G11" s="45"/>
      <c r="H11" s="10"/>
    </row>
    <row r="12" spans="1:11" x14ac:dyDescent="0.2">
      <c r="A12" s="200" t="s">
        <v>16</v>
      </c>
      <c r="B12" s="462" t="s">
        <v>32</v>
      </c>
      <c r="C12" s="463"/>
      <c r="D12" s="463"/>
      <c r="E12" s="463"/>
      <c r="F12" s="464"/>
      <c r="G12" s="207"/>
      <c r="H12" s="199">
        <f>SUM(H13:H14)</f>
        <v>40095</v>
      </c>
    </row>
    <row r="13" spans="1:11" x14ac:dyDescent="0.2">
      <c r="A13" s="442" t="s">
        <v>117</v>
      </c>
      <c r="B13" s="449"/>
      <c r="C13" s="449"/>
      <c r="D13" s="449"/>
      <c r="E13" s="443"/>
      <c r="F13" s="189">
        <f>SUM(F9)</f>
        <v>0</v>
      </c>
      <c r="G13" s="190">
        <v>0.27</v>
      </c>
      <c r="H13" s="10">
        <v>14850</v>
      </c>
    </row>
    <row r="14" spans="1:11" ht="13.5" thickBot="1" x14ac:dyDescent="0.25">
      <c r="A14" s="442" t="s">
        <v>136</v>
      </c>
      <c r="B14" s="449"/>
      <c r="C14" s="449"/>
      <c r="D14" s="449"/>
      <c r="E14" s="443"/>
      <c r="F14" s="187">
        <f>SUM(F10)</f>
        <v>0</v>
      </c>
      <c r="G14" s="188">
        <v>0.05</v>
      </c>
      <c r="H14" s="10">
        <v>25245</v>
      </c>
    </row>
    <row r="15" spans="1:11" ht="13.5" customHeight="1" thickBot="1" x14ac:dyDescent="0.25">
      <c r="A15" s="450" t="s">
        <v>40</v>
      </c>
      <c r="B15" s="451"/>
      <c r="C15" s="451"/>
      <c r="D15" s="451"/>
      <c r="E15" s="451"/>
      <c r="F15" s="452"/>
      <c r="G15" s="42"/>
      <c r="H15" s="25">
        <f>SUM(H8,H12)</f>
        <v>600000</v>
      </c>
    </row>
    <row r="16" spans="1:11" ht="13.5" thickBot="1" x14ac:dyDescent="0.25">
      <c r="A16" s="421" t="s">
        <v>80</v>
      </c>
      <c r="B16" s="422"/>
      <c r="C16" s="422"/>
      <c r="D16" s="422"/>
      <c r="E16" s="422"/>
      <c r="F16" s="422"/>
      <c r="G16" s="422"/>
      <c r="H16" s="423"/>
    </row>
    <row r="17" spans="1:10" x14ac:dyDescent="0.2">
      <c r="A17" s="419" t="s">
        <v>0</v>
      </c>
      <c r="B17" s="420" t="s">
        <v>39</v>
      </c>
      <c r="C17" s="412"/>
      <c r="D17" s="434"/>
      <c r="E17" s="434"/>
      <c r="F17" s="434"/>
      <c r="G17" s="435"/>
      <c r="H17" s="16">
        <v>2023</v>
      </c>
    </row>
    <row r="18" spans="1:10" ht="21.75" thickBot="1" x14ac:dyDescent="0.25">
      <c r="A18" s="407"/>
      <c r="B18" s="418"/>
      <c r="C18" s="33"/>
      <c r="D18" s="162"/>
      <c r="E18" s="162"/>
      <c r="F18" s="33"/>
      <c r="G18" s="33"/>
      <c r="H18" s="17" t="s">
        <v>167</v>
      </c>
    </row>
    <row r="19" spans="1:10" ht="21.75" customHeight="1" x14ac:dyDescent="0.2">
      <c r="A19" s="198" t="s">
        <v>8</v>
      </c>
      <c r="B19" s="446" t="s">
        <v>25</v>
      </c>
      <c r="C19" s="447"/>
      <c r="D19" s="447"/>
      <c r="E19" s="447"/>
      <c r="F19" s="448"/>
      <c r="G19" s="196"/>
      <c r="H19" s="199">
        <f>SUM(H20)</f>
        <v>720000</v>
      </c>
    </row>
    <row r="20" spans="1:10" ht="13.5" thickBot="1" x14ac:dyDescent="0.25">
      <c r="A20" s="453" t="s">
        <v>119</v>
      </c>
      <c r="B20" s="454"/>
      <c r="C20" s="454"/>
      <c r="D20" s="454"/>
      <c r="E20" s="455"/>
      <c r="F20" s="43"/>
      <c r="G20" s="46">
        <v>12</v>
      </c>
      <c r="H20" s="191">
        <v>720000</v>
      </c>
    </row>
    <row r="21" spans="1:10" ht="13.5" customHeight="1" thickBot="1" x14ac:dyDescent="0.25">
      <c r="A21" s="456" t="s">
        <v>35</v>
      </c>
      <c r="B21" s="457"/>
      <c r="C21" s="457"/>
      <c r="D21" s="457"/>
      <c r="E21" s="457"/>
      <c r="F21" s="458"/>
      <c r="G21" s="47"/>
      <c r="H21" s="48">
        <f>SUM(H19:H19)</f>
        <v>720000</v>
      </c>
    </row>
    <row r="22" spans="1:10" s="192" customFormat="1" ht="21.75" thickBot="1" x14ac:dyDescent="0.25">
      <c r="A22" s="208" t="s">
        <v>72</v>
      </c>
      <c r="B22" s="209" t="s">
        <v>26</v>
      </c>
      <c r="C22" s="210"/>
      <c r="D22" s="210">
        <v>0</v>
      </c>
      <c r="E22" s="210"/>
      <c r="F22" s="210"/>
      <c r="G22" s="210"/>
      <c r="H22" s="211">
        <v>0</v>
      </c>
    </row>
    <row r="23" spans="1:10" ht="13.5" thickBot="1" x14ac:dyDescent="0.25">
      <c r="A23" s="408" t="s">
        <v>36</v>
      </c>
      <c r="B23" s="409"/>
      <c r="C23" s="170"/>
      <c r="D23" s="49"/>
      <c r="E23" s="49"/>
      <c r="F23" s="49"/>
      <c r="G23" s="47"/>
      <c r="H23" s="48">
        <f>SUM(H22:H22)</f>
        <v>0</v>
      </c>
    </row>
    <row r="24" spans="1:10" ht="13.5" customHeight="1" thickBot="1" x14ac:dyDescent="0.25">
      <c r="A24" s="450" t="s">
        <v>40</v>
      </c>
      <c r="B24" s="451"/>
      <c r="C24" s="451"/>
      <c r="D24" s="451"/>
      <c r="E24" s="451"/>
      <c r="F24" s="452"/>
      <c r="G24" s="41"/>
      <c r="H24" s="25">
        <f>H21+H23</f>
        <v>720000</v>
      </c>
    </row>
    <row r="25" spans="1:10" x14ac:dyDescent="0.2">
      <c r="A25" s="403" t="s">
        <v>98</v>
      </c>
      <c r="B25" s="404"/>
      <c r="C25" s="404"/>
      <c r="D25" s="404"/>
      <c r="E25" s="404"/>
      <c r="F25" s="404"/>
      <c r="G25" s="404"/>
      <c r="H25" s="405"/>
    </row>
    <row r="26" spans="1:10" x14ac:dyDescent="0.2">
      <c r="A26" s="406" t="s">
        <v>0</v>
      </c>
      <c r="B26" s="417" t="s">
        <v>39</v>
      </c>
      <c r="C26" s="412"/>
      <c r="D26" s="434"/>
      <c r="E26" s="434"/>
      <c r="F26" s="434"/>
      <c r="G26" s="435"/>
      <c r="H26" s="16">
        <v>2023</v>
      </c>
    </row>
    <row r="27" spans="1:10" ht="21.75" thickBot="1" x14ac:dyDescent="0.25">
      <c r="A27" s="407"/>
      <c r="B27" s="418"/>
      <c r="C27" s="33"/>
      <c r="D27" s="162"/>
      <c r="E27" s="162"/>
      <c r="F27" s="33"/>
      <c r="G27" s="33"/>
      <c r="H27" s="17" t="s">
        <v>167</v>
      </c>
    </row>
    <row r="28" spans="1:10" x14ac:dyDescent="0.2">
      <c r="A28" s="194" t="s">
        <v>4</v>
      </c>
      <c r="B28" s="436" t="s">
        <v>21</v>
      </c>
      <c r="C28" s="437"/>
      <c r="D28" s="438"/>
      <c r="E28" s="195"/>
      <c r="F28" s="195"/>
      <c r="G28" s="196"/>
      <c r="H28" s="197">
        <v>10482200</v>
      </c>
    </row>
    <row r="29" spans="1:10" x14ac:dyDescent="0.2">
      <c r="A29" s="442" t="s">
        <v>120</v>
      </c>
      <c r="B29" s="443"/>
      <c r="C29" s="193"/>
      <c r="D29" s="13"/>
      <c r="E29" s="38"/>
      <c r="F29" s="38"/>
      <c r="G29" s="40"/>
      <c r="H29" s="12">
        <v>6923800</v>
      </c>
      <c r="I29" s="232"/>
    </row>
    <row r="30" spans="1:10" x14ac:dyDescent="0.2">
      <c r="A30" s="442" t="s">
        <v>121</v>
      </c>
      <c r="B30" s="443"/>
      <c r="C30" s="193"/>
      <c r="D30" s="13"/>
      <c r="E30" s="38"/>
      <c r="F30" s="38"/>
      <c r="G30" s="40"/>
      <c r="H30" s="12">
        <v>3523200</v>
      </c>
      <c r="I30" s="232">
        <f>SUM(H29:H30)</f>
        <v>10447000</v>
      </c>
    </row>
    <row r="31" spans="1:10" x14ac:dyDescent="0.2">
      <c r="A31" s="198" t="s">
        <v>154</v>
      </c>
      <c r="B31" s="428" t="s">
        <v>155</v>
      </c>
      <c r="C31" s="429"/>
      <c r="D31" s="430"/>
      <c r="E31" s="195"/>
      <c r="F31" s="195"/>
      <c r="G31" s="196"/>
      <c r="H31" s="199">
        <v>210000</v>
      </c>
      <c r="I31" s="289"/>
    </row>
    <row r="32" spans="1:10" x14ac:dyDescent="0.2">
      <c r="A32" s="198" t="s">
        <v>66</v>
      </c>
      <c r="B32" s="428" t="s">
        <v>67</v>
      </c>
      <c r="C32" s="429"/>
      <c r="D32" s="430"/>
      <c r="E32" s="195"/>
      <c r="F32" s="195"/>
      <c r="G32" s="196"/>
      <c r="H32" s="199">
        <v>550000</v>
      </c>
      <c r="J32" s="227">
        <v>0.02</v>
      </c>
    </row>
    <row r="33" spans="1:13" x14ac:dyDescent="0.2">
      <c r="A33" s="198" t="s">
        <v>5</v>
      </c>
      <c r="B33" s="428" t="s">
        <v>22</v>
      </c>
      <c r="C33" s="429"/>
      <c r="D33" s="430"/>
      <c r="E33" s="195"/>
      <c r="F33" s="195"/>
      <c r="G33" s="196"/>
      <c r="H33" s="199">
        <v>100000</v>
      </c>
    </row>
    <row r="34" spans="1:13" x14ac:dyDescent="0.2">
      <c r="A34" s="200" t="s">
        <v>6</v>
      </c>
      <c r="B34" s="428" t="s">
        <v>23</v>
      </c>
      <c r="C34" s="429"/>
      <c r="D34" s="430"/>
      <c r="E34" s="195"/>
      <c r="F34" s="195"/>
      <c r="G34" s="196"/>
      <c r="H34" s="199"/>
    </row>
    <row r="35" spans="1:13" x14ac:dyDescent="0.2">
      <c r="A35" s="200" t="s">
        <v>7</v>
      </c>
      <c r="B35" s="428" t="s">
        <v>24</v>
      </c>
      <c r="C35" s="429"/>
      <c r="D35" s="430"/>
      <c r="E35" s="195"/>
      <c r="F35" s="195"/>
      <c r="G35" s="196"/>
      <c r="H35" s="199">
        <f>SUM(H36:H39)</f>
        <v>940000</v>
      </c>
    </row>
    <row r="36" spans="1:13" x14ac:dyDescent="0.2">
      <c r="A36" s="442" t="s">
        <v>153</v>
      </c>
      <c r="B36" s="443"/>
      <c r="C36" s="176"/>
      <c r="D36" s="63"/>
      <c r="E36" s="38"/>
      <c r="F36" s="38"/>
      <c r="G36" s="40"/>
      <c r="H36" s="11">
        <v>118000</v>
      </c>
    </row>
    <row r="37" spans="1:13" x14ac:dyDescent="0.2">
      <c r="A37" s="442" t="s">
        <v>156</v>
      </c>
      <c r="B37" s="443"/>
      <c r="C37" s="176"/>
      <c r="D37" s="63"/>
      <c r="E37" s="38"/>
      <c r="F37" s="38"/>
      <c r="G37" s="40"/>
      <c r="H37" s="11">
        <v>480000</v>
      </c>
    </row>
    <row r="38" spans="1:13" x14ac:dyDescent="0.2">
      <c r="A38" s="442" t="s">
        <v>157</v>
      </c>
      <c r="B38" s="443"/>
      <c r="C38" s="176"/>
      <c r="D38" s="63"/>
      <c r="E38" s="38"/>
      <c r="F38" s="38"/>
      <c r="G38" s="40"/>
      <c r="H38" s="11">
        <v>250000</v>
      </c>
    </row>
    <row r="39" spans="1:13" x14ac:dyDescent="0.2">
      <c r="A39" s="442" t="s">
        <v>122</v>
      </c>
      <c r="B39" s="443"/>
      <c r="C39" s="176"/>
      <c r="D39" s="63"/>
      <c r="E39" s="38"/>
      <c r="F39" s="38"/>
      <c r="G39" s="40"/>
      <c r="H39" s="11">
        <v>92000</v>
      </c>
    </row>
    <row r="40" spans="1:13" x14ac:dyDescent="0.2">
      <c r="A40" s="201" t="s">
        <v>110</v>
      </c>
      <c r="B40" s="428" t="s">
        <v>111</v>
      </c>
      <c r="C40" s="429"/>
      <c r="D40" s="430"/>
      <c r="E40" s="202"/>
      <c r="F40" s="195"/>
      <c r="G40" s="196"/>
      <c r="H40" s="203">
        <v>0</v>
      </c>
    </row>
    <row r="41" spans="1:13" ht="33.75" customHeight="1" x14ac:dyDescent="0.2">
      <c r="A41" s="201" t="s">
        <v>8</v>
      </c>
      <c r="B41" s="465" t="s">
        <v>25</v>
      </c>
      <c r="C41" s="466"/>
      <c r="D41" s="467"/>
      <c r="E41" s="204"/>
      <c r="F41" s="202"/>
      <c r="G41" s="207"/>
      <c r="H41" s="203">
        <v>0</v>
      </c>
      <c r="M41" s="192"/>
    </row>
    <row r="42" spans="1:13" ht="13.5" thickBot="1" x14ac:dyDescent="0.25">
      <c r="A42" s="201" t="s">
        <v>158</v>
      </c>
      <c r="B42" s="471" t="s">
        <v>159</v>
      </c>
      <c r="C42" s="472"/>
      <c r="D42" s="473"/>
      <c r="E42" s="202"/>
      <c r="F42" s="195"/>
      <c r="G42" s="196"/>
      <c r="H42" s="203">
        <v>30000</v>
      </c>
    </row>
    <row r="43" spans="1:13" ht="13.5" thickBot="1" x14ac:dyDescent="0.25">
      <c r="A43" s="408" t="s">
        <v>35</v>
      </c>
      <c r="B43" s="427"/>
      <c r="C43" s="431"/>
      <c r="D43" s="432"/>
      <c r="E43" s="432"/>
      <c r="F43" s="432"/>
      <c r="G43" s="433"/>
      <c r="H43" s="48">
        <f>SUM(H28,H32,H33,H34,H35,H40,H41,H31,H42)</f>
        <v>12312200</v>
      </c>
    </row>
    <row r="44" spans="1:13" ht="21" x14ac:dyDescent="0.2">
      <c r="A44" s="194" t="s">
        <v>9</v>
      </c>
      <c r="B44" s="212" t="s">
        <v>26</v>
      </c>
      <c r="C44" s="213"/>
      <c r="D44" s="214">
        <f>SUM(H43*0.13)</f>
        <v>1600586</v>
      </c>
      <c r="E44" s="195"/>
      <c r="F44" s="195"/>
      <c r="G44" s="196"/>
      <c r="H44" s="197">
        <v>1614686</v>
      </c>
    </row>
    <row r="45" spans="1:13" ht="32.25" thickBot="1" x14ac:dyDescent="0.25">
      <c r="A45" s="215" t="s">
        <v>10</v>
      </c>
      <c r="B45" s="216" t="s">
        <v>27</v>
      </c>
      <c r="C45" s="217"/>
      <c r="D45" s="218">
        <f>SUM(H31*0.15)</f>
        <v>31500</v>
      </c>
      <c r="E45" s="204"/>
      <c r="F45" s="204"/>
      <c r="G45" s="205"/>
      <c r="H45" s="203">
        <v>80000</v>
      </c>
    </row>
    <row r="46" spans="1:13" ht="13.5" thickBot="1" x14ac:dyDescent="0.25">
      <c r="A46" s="426" t="s">
        <v>68</v>
      </c>
      <c r="B46" s="427"/>
      <c r="C46" s="431"/>
      <c r="D46" s="432"/>
      <c r="E46" s="432"/>
      <c r="F46" s="432"/>
      <c r="G46" s="433"/>
      <c r="H46" s="48">
        <f>SUM(H44:H45)</f>
        <v>1694686</v>
      </c>
      <c r="J46" s="227"/>
    </row>
    <row r="47" spans="1:13" ht="13.5" thickBot="1" x14ac:dyDescent="0.25">
      <c r="A47" s="236" t="s">
        <v>11</v>
      </c>
      <c r="B47" s="468" t="s">
        <v>28</v>
      </c>
      <c r="C47" s="469"/>
      <c r="D47" s="470"/>
      <c r="E47" s="237"/>
      <c r="F47" s="237"/>
      <c r="G47" s="238"/>
      <c r="H47" s="203">
        <f>SUM(H48:H49)</f>
        <v>50000</v>
      </c>
    </row>
    <row r="48" spans="1:13" x14ac:dyDescent="0.2">
      <c r="A48" s="444" t="s">
        <v>137</v>
      </c>
      <c r="B48" s="445"/>
      <c r="C48" s="239"/>
      <c r="D48" s="54"/>
      <c r="E48" s="239"/>
      <c r="F48" s="54"/>
      <c r="G48" s="240">
        <v>0.05</v>
      </c>
      <c r="H48" s="149">
        <v>50000</v>
      </c>
      <c r="J48" s="227"/>
      <c r="K48" s="22">
        <f>SUM(H48*G48)</f>
        <v>2500</v>
      </c>
    </row>
    <row r="49" spans="1:11" x14ac:dyDescent="0.2">
      <c r="A49" s="442" t="s">
        <v>138</v>
      </c>
      <c r="B49" s="443"/>
      <c r="C49" s="164"/>
      <c r="D49" s="235"/>
      <c r="E49" s="163"/>
      <c r="F49" s="9"/>
      <c r="G49" s="233">
        <v>0.27</v>
      </c>
      <c r="H49" s="10"/>
      <c r="J49" s="227"/>
      <c r="K49" s="22">
        <f>SUM(H49*G49)</f>
        <v>0</v>
      </c>
    </row>
    <row r="50" spans="1:11" ht="12.75" customHeight="1" x14ac:dyDescent="0.2">
      <c r="A50" s="220" t="s">
        <v>12</v>
      </c>
      <c r="B50" s="428" t="s">
        <v>29</v>
      </c>
      <c r="C50" s="429"/>
      <c r="D50" s="430"/>
      <c r="E50" s="202"/>
      <c r="F50" s="202"/>
      <c r="G50" s="207"/>
      <c r="H50" s="199">
        <f>SUM(H51:H53)</f>
        <v>1490000</v>
      </c>
      <c r="J50" s="227"/>
      <c r="K50" s="22"/>
    </row>
    <row r="51" spans="1:11" x14ac:dyDescent="0.2">
      <c r="A51" s="442" t="s">
        <v>123</v>
      </c>
      <c r="B51" s="443"/>
      <c r="C51" s="163"/>
      <c r="D51" s="9"/>
      <c r="E51" s="9"/>
      <c r="F51" s="9">
        <v>600000</v>
      </c>
      <c r="G51" s="245">
        <v>0.27</v>
      </c>
      <c r="H51" s="10">
        <f>SUM(F51)</f>
        <v>600000</v>
      </c>
      <c r="J51" s="227"/>
      <c r="K51" s="22">
        <f>SUM(H51*G51)</f>
        <v>162000</v>
      </c>
    </row>
    <row r="52" spans="1:11" x14ac:dyDescent="0.2">
      <c r="A52" s="442" t="s">
        <v>139</v>
      </c>
      <c r="B52" s="443"/>
      <c r="C52" s="163"/>
      <c r="D52" s="9"/>
      <c r="E52" s="9"/>
      <c r="F52" s="9">
        <v>200000</v>
      </c>
      <c r="G52" s="245">
        <v>0.27</v>
      </c>
      <c r="H52" s="10">
        <f t="shared" ref="H52" si="0">SUM(F52)</f>
        <v>200000</v>
      </c>
      <c r="J52" s="227"/>
      <c r="K52" s="22">
        <f t="shared" ref="K52:K69" si="1">SUM(H52*G52)</f>
        <v>54000</v>
      </c>
    </row>
    <row r="53" spans="1:11" x14ac:dyDescent="0.2">
      <c r="A53" s="442" t="s">
        <v>124</v>
      </c>
      <c r="B53" s="443"/>
      <c r="C53" s="234"/>
      <c r="D53" s="235"/>
      <c r="E53" s="9"/>
      <c r="F53" s="9">
        <v>600000</v>
      </c>
      <c r="G53" s="245">
        <v>0.27</v>
      </c>
      <c r="H53" s="10">
        <v>690000</v>
      </c>
      <c r="J53" s="227"/>
      <c r="K53" s="22">
        <f t="shared" si="1"/>
        <v>186300</v>
      </c>
    </row>
    <row r="54" spans="1:11" x14ac:dyDescent="0.2">
      <c r="A54" s="220" t="s">
        <v>69</v>
      </c>
      <c r="B54" s="428" t="s">
        <v>70</v>
      </c>
      <c r="C54" s="429"/>
      <c r="D54" s="430"/>
      <c r="E54" s="221"/>
      <c r="F54" s="221"/>
      <c r="G54" s="222"/>
      <c r="H54" s="199">
        <f>SUM(H55:H57)</f>
        <v>120000</v>
      </c>
      <c r="J54" s="227"/>
      <c r="K54" s="22"/>
    </row>
    <row r="55" spans="1:11" x14ac:dyDescent="0.2">
      <c r="A55" s="439" t="s">
        <v>141</v>
      </c>
      <c r="B55" s="441"/>
      <c r="C55" s="163"/>
      <c r="D55" s="9"/>
      <c r="E55" s="9">
        <v>12</v>
      </c>
      <c r="F55" s="9">
        <v>8600</v>
      </c>
      <c r="G55" s="245">
        <v>0.05</v>
      </c>
      <c r="H55" s="10">
        <f>SUM(E55*F55)</f>
        <v>103200</v>
      </c>
      <c r="J55" s="227"/>
      <c r="K55" s="22">
        <f t="shared" si="1"/>
        <v>5160</v>
      </c>
    </row>
    <row r="56" spans="1:11" x14ac:dyDescent="0.2">
      <c r="A56" s="439" t="s">
        <v>140</v>
      </c>
      <c r="B56" s="441"/>
      <c r="C56" s="163"/>
      <c r="D56" s="9"/>
      <c r="E56" s="9">
        <v>12</v>
      </c>
      <c r="F56" s="9">
        <v>1000</v>
      </c>
      <c r="G56" s="245">
        <v>0.05</v>
      </c>
      <c r="H56" s="10">
        <f>SUM(E56*F56)</f>
        <v>12000</v>
      </c>
      <c r="J56" s="227"/>
      <c r="K56" s="22">
        <f t="shared" si="1"/>
        <v>600</v>
      </c>
    </row>
    <row r="57" spans="1:11" x14ac:dyDescent="0.2">
      <c r="A57" s="439" t="s">
        <v>142</v>
      </c>
      <c r="B57" s="441"/>
      <c r="C57" s="163"/>
      <c r="D57" s="9"/>
      <c r="E57" s="9"/>
      <c r="F57" s="9"/>
      <c r="G57" s="245">
        <v>0.05</v>
      </c>
      <c r="H57" s="10">
        <v>4800</v>
      </c>
      <c r="J57" s="227"/>
      <c r="K57" s="22">
        <f t="shared" si="1"/>
        <v>240</v>
      </c>
    </row>
    <row r="58" spans="1:11" ht="31.5" x14ac:dyDescent="0.2">
      <c r="A58" s="219" t="s">
        <v>13</v>
      </c>
      <c r="B58" s="223" t="s">
        <v>71</v>
      </c>
      <c r="C58" s="224"/>
      <c r="D58" s="221"/>
      <c r="E58" s="221"/>
      <c r="F58" s="221"/>
      <c r="G58" s="222"/>
      <c r="H58" s="199">
        <f>SUM(H59)</f>
        <v>84000</v>
      </c>
      <c r="J58" s="227"/>
      <c r="K58" s="22"/>
    </row>
    <row r="59" spans="1:11" x14ac:dyDescent="0.2">
      <c r="A59" s="442" t="s">
        <v>125</v>
      </c>
      <c r="B59" s="443"/>
      <c r="C59" s="163"/>
      <c r="D59" s="9"/>
      <c r="E59" s="163">
        <v>12</v>
      </c>
      <c r="F59" s="9">
        <v>7000</v>
      </c>
      <c r="G59" s="233">
        <v>0.27</v>
      </c>
      <c r="H59" s="10">
        <f>SUM(E59*F59)</f>
        <v>84000</v>
      </c>
      <c r="J59" s="227"/>
      <c r="K59" s="22">
        <f t="shared" si="1"/>
        <v>22680</v>
      </c>
    </row>
    <row r="60" spans="1:11" x14ac:dyDescent="0.2">
      <c r="A60" s="220" t="s">
        <v>84</v>
      </c>
      <c r="B60" s="223" t="s">
        <v>126</v>
      </c>
      <c r="C60" s="224"/>
      <c r="D60" s="221"/>
      <c r="E60" s="221"/>
      <c r="F60" s="221"/>
      <c r="G60" s="222"/>
      <c r="H60" s="199">
        <f>SUM(H61:H63)</f>
        <v>3144000</v>
      </c>
      <c r="J60" s="227"/>
      <c r="K60" s="22"/>
    </row>
    <row r="61" spans="1:11" x14ac:dyDescent="0.2">
      <c r="A61" s="26" t="s">
        <v>88</v>
      </c>
      <c r="B61" s="474" t="s">
        <v>85</v>
      </c>
      <c r="C61" s="443"/>
      <c r="D61" s="9"/>
      <c r="E61" s="9"/>
      <c r="F61" s="9"/>
      <c r="G61" s="245">
        <v>0.27</v>
      </c>
      <c r="H61" s="10">
        <v>544000</v>
      </c>
      <c r="J61" s="227"/>
      <c r="K61" s="22">
        <f t="shared" si="1"/>
        <v>146880</v>
      </c>
    </row>
    <row r="62" spans="1:11" x14ac:dyDescent="0.2">
      <c r="A62" s="39" t="s">
        <v>87</v>
      </c>
      <c r="B62" s="474" t="s">
        <v>86</v>
      </c>
      <c r="C62" s="443"/>
      <c r="D62" s="9"/>
      <c r="E62" s="9"/>
      <c r="F62" s="9"/>
      <c r="G62" s="245">
        <v>0.27</v>
      </c>
      <c r="H62" s="10">
        <v>2400000</v>
      </c>
      <c r="J62" s="227"/>
      <c r="K62" s="22">
        <f t="shared" si="1"/>
        <v>648000</v>
      </c>
    </row>
    <row r="63" spans="1:11" x14ac:dyDescent="0.2">
      <c r="A63" s="62" t="s">
        <v>89</v>
      </c>
      <c r="B63" s="474" t="s">
        <v>90</v>
      </c>
      <c r="C63" s="443"/>
      <c r="D63" s="9"/>
      <c r="E63" s="9"/>
      <c r="F63" s="9"/>
      <c r="G63" s="245">
        <v>0.27</v>
      </c>
      <c r="H63" s="10">
        <v>200000</v>
      </c>
      <c r="J63" s="227"/>
      <c r="K63" s="22">
        <f t="shared" si="1"/>
        <v>54000</v>
      </c>
    </row>
    <row r="64" spans="1:11" x14ac:dyDescent="0.2">
      <c r="A64" s="219" t="s">
        <v>82</v>
      </c>
      <c r="B64" s="428" t="s">
        <v>83</v>
      </c>
      <c r="C64" s="429"/>
      <c r="D64" s="430"/>
      <c r="E64" s="221"/>
      <c r="F64" s="221"/>
      <c r="G64" s="222"/>
      <c r="H64" s="199">
        <f>SUM(H65:H67)</f>
        <v>253500</v>
      </c>
      <c r="J64" s="227"/>
      <c r="K64" s="22">
        <f t="shared" si="1"/>
        <v>0</v>
      </c>
    </row>
    <row r="65" spans="1:11" x14ac:dyDescent="0.2">
      <c r="A65" s="439" t="s">
        <v>143</v>
      </c>
      <c r="B65" s="440"/>
      <c r="C65" s="34"/>
      <c r="D65" s="9"/>
      <c r="E65" s="9"/>
      <c r="F65" s="9">
        <v>14500</v>
      </c>
      <c r="G65" s="245" t="s">
        <v>144</v>
      </c>
      <c r="H65" s="10">
        <v>53500</v>
      </c>
      <c r="J65" s="227"/>
      <c r="K65" s="22"/>
    </row>
    <row r="66" spans="1:11" x14ac:dyDescent="0.2">
      <c r="A66" s="439" t="s">
        <v>171</v>
      </c>
      <c r="B66" s="440"/>
      <c r="C66" s="246"/>
      <c r="D66" s="235"/>
      <c r="E66" s="9"/>
      <c r="F66" s="9"/>
      <c r="G66" s="245" t="s">
        <v>144</v>
      </c>
      <c r="H66" s="10">
        <v>150000</v>
      </c>
      <c r="J66" s="227"/>
      <c r="K66" s="22"/>
    </row>
    <row r="67" spans="1:11" x14ac:dyDescent="0.2">
      <c r="A67" s="439" t="s">
        <v>145</v>
      </c>
      <c r="B67" s="440"/>
      <c r="C67" s="246"/>
      <c r="D67" s="235"/>
      <c r="E67" s="9"/>
      <c r="F67" s="9"/>
      <c r="G67" s="245">
        <v>0.27</v>
      </c>
      <c r="H67" s="10">
        <v>50000</v>
      </c>
      <c r="J67" s="227"/>
      <c r="K67" s="22">
        <f t="shared" si="1"/>
        <v>13500</v>
      </c>
    </row>
    <row r="68" spans="1:11" ht="21" customHeight="1" x14ac:dyDescent="0.2">
      <c r="A68" s="220" t="s">
        <v>127</v>
      </c>
      <c r="B68" s="428" t="s">
        <v>128</v>
      </c>
      <c r="C68" s="429"/>
      <c r="D68" s="430"/>
      <c r="E68" s="221"/>
      <c r="F68" s="221"/>
      <c r="G68" s="222"/>
      <c r="H68" s="199">
        <v>0</v>
      </c>
      <c r="J68" s="227"/>
      <c r="K68" s="22"/>
    </row>
    <row r="69" spans="1:11" x14ac:dyDescent="0.2">
      <c r="A69" s="219" t="s">
        <v>14</v>
      </c>
      <c r="B69" s="428" t="s">
        <v>30</v>
      </c>
      <c r="C69" s="429"/>
      <c r="D69" s="430"/>
      <c r="E69" s="221"/>
      <c r="F69" s="221"/>
      <c r="G69" s="222"/>
      <c r="H69" s="199">
        <f>SUM(H70:H73)</f>
        <v>673500</v>
      </c>
      <c r="J69" s="227"/>
      <c r="K69" s="22">
        <f t="shared" si="1"/>
        <v>0</v>
      </c>
    </row>
    <row r="70" spans="1:11" x14ac:dyDescent="0.2">
      <c r="A70" s="439" t="s">
        <v>146</v>
      </c>
      <c r="B70" s="440"/>
      <c r="C70" s="34"/>
      <c r="D70" s="9"/>
      <c r="E70" s="9"/>
      <c r="F70" s="9"/>
      <c r="G70" s="245" t="s">
        <v>147</v>
      </c>
      <c r="H70" s="10">
        <v>150000</v>
      </c>
      <c r="J70" s="227"/>
      <c r="K70" s="22"/>
    </row>
    <row r="71" spans="1:11" x14ac:dyDescent="0.2">
      <c r="A71" s="439" t="s">
        <v>148</v>
      </c>
      <c r="B71" s="440"/>
      <c r="C71" s="246"/>
      <c r="D71" s="235"/>
      <c r="E71" s="9">
        <v>4</v>
      </c>
      <c r="F71" s="9">
        <v>6000</v>
      </c>
      <c r="G71" s="245">
        <v>0.27</v>
      </c>
      <c r="H71" s="10">
        <f>SUM(E71*F71)</f>
        <v>24000</v>
      </c>
      <c r="J71" s="227"/>
      <c r="K71" s="22">
        <f>SUM(H71*G71)</f>
        <v>6480</v>
      </c>
    </row>
    <row r="72" spans="1:11" x14ac:dyDescent="0.2">
      <c r="A72" s="439" t="s">
        <v>149</v>
      </c>
      <c r="B72" s="440"/>
      <c r="C72" s="246"/>
      <c r="D72" s="235"/>
      <c r="E72" s="9">
        <v>2</v>
      </c>
      <c r="F72" s="9">
        <v>10000</v>
      </c>
      <c r="G72" s="245">
        <v>0.27</v>
      </c>
      <c r="H72" s="10">
        <f>SUM(E72*F72)</f>
        <v>20000</v>
      </c>
      <c r="J72" s="227"/>
      <c r="K72" s="22">
        <f>SUM(H72*G72)</f>
        <v>5400</v>
      </c>
    </row>
    <row r="73" spans="1:11" x14ac:dyDescent="0.2">
      <c r="A73" s="439" t="s">
        <v>142</v>
      </c>
      <c r="B73" s="440"/>
      <c r="C73" s="246"/>
      <c r="D73" s="235"/>
      <c r="E73" s="9"/>
      <c r="F73" s="9"/>
      <c r="G73" s="245">
        <v>0.27</v>
      </c>
      <c r="H73" s="10">
        <v>479500</v>
      </c>
      <c r="J73" s="227"/>
      <c r="K73" s="22">
        <f>SUM(H73*G73)</f>
        <v>129465.00000000001</v>
      </c>
    </row>
    <row r="74" spans="1:11" x14ac:dyDescent="0.2">
      <c r="A74" s="219" t="s">
        <v>15</v>
      </c>
      <c r="B74" s="428" t="s">
        <v>31</v>
      </c>
      <c r="C74" s="429"/>
      <c r="D74" s="430"/>
      <c r="E74" s="221"/>
      <c r="F74" s="221"/>
      <c r="G74" s="222"/>
      <c r="H74" s="199">
        <v>153000</v>
      </c>
      <c r="J74" s="227"/>
      <c r="K74" s="22"/>
    </row>
    <row r="75" spans="1:11" ht="21" customHeight="1" x14ac:dyDescent="0.2">
      <c r="A75" s="219" t="s">
        <v>16</v>
      </c>
      <c r="B75" s="428" t="s">
        <v>32</v>
      </c>
      <c r="C75" s="429"/>
      <c r="D75" s="430"/>
      <c r="E75" s="221"/>
      <c r="F75" s="221"/>
      <c r="G75" s="222"/>
      <c r="H75" s="199">
        <v>1300000</v>
      </c>
      <c r="J75" s="227"/>
      <c r="K75" s="228">
        <f>SUM(K48:K74)</f>
        <v>1437205</v>
      </c>
    </row>
    <row r="76" spans="1:11" ht="13.5" thickBot="1" x14ac:dyDescent="0.25">
      <c r="A76" s="241" t="s">
        <v>17</v>
      </c>
      <c r="B76" s="475" t="s">
        <v>61</v>
      </c>
      <c r="C76" s="476"/>
      <c r="D76" s="477"/>
      <c r="E76" s="242"/>
      <c r="F76" s="242"/>
      <c r="G76" s="243"/>
      <c r="H76" s="244">
        <v>15000</v>
      </c>
      <c r="J76" s="227"/>
      <c r="K76" s="22"/>
    </row>
    <row r="77" spans="1:11" ht="13.5" thickBot="1" x14ac:dyDescent="0.25">
      <c r="A77" s="426" t="s">
        <v>37</v>
      </c>
      <c r="B77" s="409"/>
      <c r="C77" s="170"/>
      <c r="D77" s="49"/>
      <c r="E77" s="49"/>
      <c r="F77" s="49"/>
      <c r="G77" s="47"/>
      <c r="H77" s="48">
        <f>SUM(H47,H50,H54,H58,H60,H64,H68,H69,H74,H75,H76)</f>
        <v>7283000</v>
      </c>
      <c r="J77" s="227"/>
      <c r="K77" s="22"/>
    </row>
    <row r="78" spans="1:11" ht="23.25" customHeight="1" thickBot="1" x14ac:dyDescent="0.25">
      <c r="A78" s="220" t="s">
        <v>135</v>
      </c>
      <c r="B78" s="428" t="s">
        <v>134</v>
      </c>
      <c r="C78" s="429"/>
      <c r="D78" s="430"/>
      <c r="E78" s="221"/>
      <c r="F78" s="221"/>
      <c r="G78" s="222"/>
      <c r="H78" s="248">
        <v>0</v>
      </c>
      <c r="J78" s="227"/>
      <c r="K78" s="22"/>
    </row>
    <row r="79" spans="1:11" ht="13.5" thickBot="1" x14ac:dyDescent="0.25">
      <c r="A79" s="426"/>
      <c r="B79" s="409"/>
      <c r="C79" s="170"/>
      <c r="D79" s="49"/>
      <c r="E79" s="49"/>
      <c r="F79" s="49"/>
      <c r="G79" s="47"/>
      <c r="H79" s="247">
        <f>SUM(H78)</f>
        <v>0</v>
      </c>
      <c r="J79" s="227"/>
      <c r="K79" s="22"/>
    </row>
    <row r="80" spans="1:11" ht="12.75" customHeight="1" x14ac:dyDescent="0.2">
      <c r="A80" s="219" t="s">
        <v>91</v>
      </c>
      <c r="B80" s="428" t="s">
        <v>92</v>
      </c>
      <c r="C80" s="429"/>
      <c r="D80" s="430"/>
      <c r="E80" s="221"/>
      <c r="F80" s="221"/>
      <c r="G80" s="222"/>
      <c r="H80" s="199">
        <v>200000</v>
      </c>
      <c r="J80" s="227"/>
    </row>
    <row r="81" spans="1:10" ht="26.25" customHeight="1" thickBot="1" x14ac:dyDescent="0.25">
      <c r="A81" s="219" t="s">
        <v>93</v>
      </c>
      <c r="B81" s="428" t="s">
        <v>95</v>
      </c>
      <c r="C81" s="429"/>
      <c r="D81" s="430"/>
      <c r="E81" s="221"/>
      <c r="F81" s="221"/>
      <c r="G81" s="222"/>
      <c r="H81" s="199">
        <v>54000</v>
      </c>
      <c r="J81" s="227"/>
    </row>
    <row r="82" spans="1:10" ht="13.5" thickBot="1" x14ac:dyDescent="0.25">
      <c r="A82" s="426" t="s">
        <v>94</v>
      </c>
      <c r="B82" s="409"/>
      <c r="C82" s="170"/>
      <c r="D82" s="49"/>
      <c r="E82" s="49"/>
      <c r="F82" s="49"/>
      <c r="G82" s="47"/>
      <c r="H82" s="48">
        <f>SUM(H80,H81)</f>
        <v>254000</v>
      </c>
    </row>
    <row r="83" spans="1:10" ht="13.5" thickBot="1" x14ac:dyDescent="0.25">
      <c r="A83" s="424" t="s">
        <v>40</v>
      </c>
      <c r="B83" s="425"/>
      <c r="C83" s="175"/>
      <c r="D83" s="57"/>
      <c r="E83" s="57"/>
      <c r="F83" s="57"/>
      <c r="G83" s="65"/>
      <c r="H83" s="57">
        <f>SUM(H43,H46,H77,H82)</f>
        <v>21543886</v>
      </c>
    </row>
    <row r="84" spans="1:10" x14ac:dyDescent="0.2">
      <c r="A84" s="403" t="s">
        <v>163</v>
      </c>
      <c r="B84" s="404"/>
      <c r="C84" s="404"/>
      <c r="D84" s="404"/>
      <c r="E84" s="404"/>
      <c r="F84" s="404"/>
      <c r="G84" s="404"/>
      <c r="H84" s="405"/>
    </row>
    <row r="85" spans="1:10" x14ac:dyDescent="0.2">
      <c r="A85" s="406" t="s">
        <v>0</v>
      </c>
      <c r="B85" s="417" t="s">
        <v>39</v>
      </c>
      <c r="C85" s="412"/>
      <c r="D85" s="434"/>
      <c r="E85" s="434"/>
      <c r="F85" s="434"/>
      <c r="G85" s="435"/>
      <c r="H85" s="16">
        <v>2023</v>
      </c>
    </row>
    <row r="86" spans="1:10" ht="21.75" thickBot="1" x14ac:dyDescent="0.25">
      <c r="A86" s="407"/>
      <c r="B86" s="418"/>
      <c r="C86" s="33"/>
      <c r="D86" s="162"/>
      <c r="E86" s="162"/>
      <c r="F86" s="33"/>
      <c r="G86" s="33"/>
      <c r="H86" s="17" t="s">
        <v>167</v>
      </c>
    </row>
    <row r="87" spans="1:10" ht="13.5" thickBot="1" x14ac:dyDescent="0.25">
      <c r="A87" s="194" t="s">
        <v>4</v>
      </c>
      <c r="B87" s="436" t="s">
        <v>21</v>
      </c>
      <c r="C87" s="437"/>
      <c r="D87" s="438"/>
      <c r="E87" s="195"/>
      <c r="F87" s="195"/>
      <c r="G87" s="196"/>
      <c r="H87" s="197">
        <v>117800</v>
      </c>
    </row>
    <row r="88" spans="1:10" ht="13.5" thickBot="1" x14ac:dyDescent="0.25">
      <c r="A88" s="426" t="s">
        <v>35</v>
      </c>
      <c r="B88" s="409"/>
      <c r="C88" s="170"/>
      <c r="D88" s="49"/>
      <c r="E88" s="49"/>
      <c r="F88" s="49"/>
      <c r="G88" s="47"/>
      <c r="H88" s="48">
        <f>SUM(H87)</f>
        <v>117800</v>
      </c>
    </row>
    <row r="89" spans="1:10" ht="13.5" thickBot="1" x14ac:dyDescent="0.25">
      <c r="A89" s="298" t="s">
        <v>53</v>
      </c>
      <c r="B89" s="428" t="s">
        <v>162</v>
      </c>
      <c r="C89" s="429"/>
      <c r="D89" s="430"/>
      <c r="E89" s="221"/>
      <c r="F89" s="221"/>
      <c r="G89" s="222"/>
      <c r="H89" s="199">
        <v>15314</v>
      </c>
    </row>
    <row r="90" spans="1:10" ht="13.5" customHeight="1" thickBot="1" x14ac:dyDescent="0.25">
      <c r="A90" s="426" t="s">
        <v>68</v>
      </c>
      <c r="B90" s="427"/>
      <c r="C90" s="431"/>
      <c r="D90" s="432"/>
      <c r="E90" s="432"/>
      <c r="F90" s="432"/>
      <c r="G90" s="433"/>
      <c r="H90" s="48">
        <f>SUM(H89)</f>
        <v>15314</v>
      </c>
    </row>
    <row r="91" spans="1:10" ht="13.5" thickBot="1" x14ac:dyDescent="0.25">
      <c r="A91" s="424" t="s">
        <v>40</v>
      </c>
      <c r="B91" s="425"/>
      <c r="C91" s="175"/>
      <c r="D91" s="57"/>
      <c r="E91" s="57"/>
      <c r="F91" s="57"/>
      <c r="G91" s="65"/>
      <c r="H91" s="57">
        <f>SUM(H88+H90)</f>
        <v>133114</v>
      </c>
    </row>
    <row r="92" spans="1:10" ht="13.5" thickBot="1" x14ac:dyDescent="0.25">
      <c r="A92" s="18" t="s">
        <v>50</v>
      </c>
      <c r="B92" s="19"/>
      <c r="C92" s="20"/>
      <c r="D92" s="20"/>
      <c r="E92" s="20"/>
      <c r="F92" s="20"/>
      <c r="G92" s="67"/>
      <c r="H92" s="20">
        <f>SUM(H15,H24,H83+H91)</f>
        <v>22997000</v>
      </c>
    </row>
  </sheetData>
  <mergeCells count="92">
    <mergeCell ref="B31:D31"/>
    <mergeCell ref="A38:B38"/>
    <mergeCell ref="B42:D42"/>
    <mergeCell ref="B80:D80"/>
    <mergeCell ref="B81:D81"/>
    <mergeCell ref="B74:D74"/>
    <mergeCell ref="A59:B59"/>
    <mergeCell ref="B61:C61"/>
    <mergeCell ref="B62:C62"/>
    <mergeCell ref="B63:C63"/>
    <mergeCell ref="B64:D64"/>
    <mergeCell ref="B68:D68"/>
    <mergeCell ref="A77:B77"/>
    <mergeCell ref="B76:D76"/>
    <mergeCell ref="B69:D69"/>
    <mergeCell ref="A79:B79"/>
    <mergeCell ref="B78:D78"/>
    <mergeCell ref="B75:D75"/>
    <mergeCell ref="A71:B71"/>
    <mergeCell ref="B32:D32"/>
    <mergeCell ref="B33:D33"/>
    <mergeCell ref="B34:D34"/>
    <mergeCell ref="A39:B39"/>
    <mergeCell ref="B41:D41"/>
    <mergeCell ref="B35:D35"/>
    <mergeCell ref="A52:B52"/>
    <mergeCell ref="B47:D47"/>
    <mergeCell ref="B50:D50"/>
    <mergeCell ref="C43:G43"/>
    <mergeCell ref="C46:G46"/>
    <mergeCell ref="B40:D40"/>
    <mergeCell ref="A36:B36"/>
    <mergeCell ref="A11:E11"/>
    <mergeCell ref="A13:E13"/>
    <mergeCell ref="B12:F12"/>
    <mergeCell ref="A14:E14"/>
    <mergeCell ref="B28:D28"/>
    <mergeCell ref="A29:B29"/>
    <mergeCell ref="A30:B30"/>
    <mergeCell ref="B19:F19"/>
    <mergeCell ref="A15:F15"/>
    <mergeCell ref="A21:F21"/>
    <mergeCell ref="B8:E8"/>
    <mergeCell ref="A82:B82"/>
    <mergeCell ref="A83:B83"/>
    <mergeCell ref="A10:E10"/>
    <mergeCell ref="A9:E9"/>
    <mergeCell ref="A23:B23"/>
    <mergeCell ref="A25:H25"/>
    <mergeCell ref="A26:A27"/>
    <mergeCell ref="B26:B27"/>
    <mergeCell ref="C26:G26"/>
    <mergeCell ref="A24:F24"/>
    <mergeCell ref="A16:H16"/>
    <mergeCell ref="A17:A18"/>
    <mergeCell ref="B17:B18"/>
    <mergeCell ref="C17:G17"/>
    <mergeCell ref="A20:E20"/>
    <mergeCell ref="A1:H1"/>
    <mergeCell ref="A2:H2"/>
    <mergeCell ref="A4:H4"/>
    <mergeCell ref="A5:H5"/>
    <mergeCell ref="A6:A7"/>
    <mergeCell ref="B6:B7"/>
    <mergeCell ref="C6:G6"/>
    <mergeCell ref="A37:B37"/>
    <mergeCell ref="A43:B43"/>
    <mergeCell ref="A46:B46"/>
    <mergeCell ref="A51:B51"/>
    <mergeCell ref="A48:B48"/>
    <mergeCell ref="A49:B49"/>
    <mergeCell ref="A53:B53"/>
    <mergeCell ref="A55:B55"/>
    <mergeCell ref="A56:B56"/>
    <mergeCell ref="B54:D54"/>
    <mergeCell ref="A72:B72"/>
    <mergeCell ref="A73:B73"/>
    <mergeCell ref="A57:B57"/>
    <mergeCell ref="A65:B65"/>
    <mergeCell ref="A67:B67"/>
    <mergeCell ref="A70:B70"/>
    <mergeCell ref="A66:B66"/>
    <mergeCell ref="A84:H84"/>
    <mergeCell ref="A85:A86"/>
    <mergeCell ref="B85:B86"/>
    <mergeCell ref="C85:G85"/>
    <mergeCell ref="B87:D87"/>
    <mergeCell ref="A91:B91"/>
    <mergeCell ref="A88:B88"/>
    <mergeCell ref="B89:D89"/>
    <mergeCell ref="A90:B90"/>
    <mergeCell ref="C90:G90"/>
  </mergeCells>
  <phoneticPr fontId="27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5</vt:i4>
      </vt:variant>
    </vt:vector>
  </HeadingPairs>
  <TitlesOfParts>
    <vt:vector size="11" baseType="lpstr">
      <vt:lpstr>Mérleg(Műv.Ház 2023.)</vt:lpstr>
      <vt:lpstr>Bevételek(Műv.Ház 2023)</vt:lpstr>
      <vt:lpstr>Bevételek COFOG</vt:lpstr>
      <vt:lpstr>Kiadások(Műv.Ház 2023)</vt:lpstr>
      <vt:lpstr>Kiadások COFOG szerint</vt:lpstr>
      <vt:lpstr>Részletes cofogos</vt:lpstr>
      <vt:lpstr>'Bevételek COFOG'!Nyomtatási_terület</vt:lpstr>
      <vt:lpstr>'Bevételek(Műv.Ház 2023)'!Nyomtatási_terület</vt:lpstr>
      <vt:lpstr>'Kiadások COFOG szerint'!Nyomtatási_terület</vt:lpstr>
      <vt:lpstr>'Kiadások(Műv.Ház 2023)'!Nyomtatási_terület</vt:lpstr>
      <vt:lpstr>'Mérleg(Műv.Ház 2023.)'!Nyomtatási_terület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Rozbora Timea</cp:lastModifiedBy>
  <cp:lastPrinted>2022-02-15T14:04:40Z</cp:lastPrinted>
  <dcterms:created xsi:type="dcterms:W3CDTF">2016-01-02T07:48:50Z</dcterms:created>
  <dcterms:modified xsi:type="dcterms:W3CDTF">2023-10-25T07:04:25Z</dcterms:modified>
</cp:coreProperties>
</file>