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\word\Anikó\A testület\képviselő testület\előterjesztések\2023\2023.10.31\"/>
    </mc:Choice>
  </mc:AlternateContent>
  <workbookProtection workbookAlgorithmName="SHA-512" workbookHashValue="r4AxFHBovsOBUEmW7wm21KOAv0kUIZ3bfI6kvjEYwuTnX2VipODKeY/zAIp6Sm2e5D8SwILD94FEcAymTfGeXA==" workbookSaltValue="FgL8hFJ51b5pjbXJvCqaFg==" workbookSpinCount="100000" lockStructure="1"/>
  <bookViews>
    <workbookView xWindow="-120" yWindow="-120" windowWidth="29040" windowHeight="15840"/>
  </bookViews>
  <sheets>
    <sheet name="Mérleg(Hivatal 2023)" sheetId="4" r:id="rId1"/>
    <sheet name="Bevételek(Hivatal 2023)" sheetId="2" r:id="rId2"/>
    <sheet name="Leosztott bev" sheetId="9" state="hidden" r:id="rId3"/>
    <sheet name="Kiadások(Hivatal 2023)" sheetId="3" r:id="rId4"/>
    <sheet name="Kiadások COFOG szerint" sheetId="5" state="hidden" r:id="rId5"/>
    <sheet name="Részletes cofog kiadás" sheetId="6" state="hidden" r:id="rId6"/>
    <sheet name="Leosztott" sheetId="7" state="hidden" r:id="rId7"/>
  </sheets>
  <definedNames>
    <definedName name="_xlnm._FilterDatabase" localSheetId="4" hidden="1">'Kiadások COFOG szerint'!$A$1:$A$56</definedName>
    <definedName name="_xlnm.Print_Area" localSheetId="1">'Bevételek(Hivatal 2023)'!$A$1:$H$31</definedName>
    <definedName name="_xlnm.Print_Area" localSheetId="4">'Kiadások COFOG szerint'!$A$1:$H$56</definedName>
    <definedName name="_xlnm.Print_Area" localSheetId="3">'Kiadások(Hivatal 2023)'!$A$1:$H$48</definedName>
    <definedName name="_xlnm.Print_Area" localSheetId="0">'Mérleg(Hivatal 2023)'!$A$1:$P$28</definedName>
  </definedNames>
  <calcPr calcId="181029"/>
</workbook>
</file>

<file path=xl/calcChain.xml><?xml version="1.0" encoding="utf-8"?>
<calcChain xmlns="http://schemas.openxmlformats.org/spreadsheetml/2006/main">
  <c r="G27" i="3" l="1"/>
  <c r="G22" i="3"/>
  <c r="G19" i="3"/>
  <c r="G12" i="3"/>
  <c r="G13" i="3"/>
  <c r="G16" i="3"/>
  <c r="G17" i="3"/>
  <c r="G8" i="3"/>
  <c r="G10" i="3"/>
  <c r="G11" i="3"/>
  <c r="G32" i="3"/>
  <c r="G40" i="3"/>
  <c r="H33" i="3"/>
  <c r="G33" i="3" s="1"/>
  <c r="F33" i="3"/>
  <c r="E33" i="3"/>
  <c r="F56" i="5"/>
  <c r="E56" i="5"/>
  <c r="H56" i="5"/>
  <c r="G8" i="6"/>
  <c r="G16" i="6"/>
  <c r="O13" i="7" l="1"/>
  <c r="G13" i="7"/>
  <c r="H13" i="2"/>
  <c r="H8" i="2"/>
  <c r="H20" i="2"/>
  <c r="H19" i="2"/>
  <c r="H18" i="2"/>
  <c r="H12" i="2"/>
  <c r="G21" i="9"/>
  <c r="E21" i="9"/>
  <c r="C21" i="9"/>
  <c r="O16" i="9"/>
  <c r="N16" i="9" s="1"/>
  <c r="L16" i="9"/>
  <c r="K16" i="9"/>
  <c r="D16" i="9"/>
  <c r="C16" i="9"/>
  <c r="N15" i="9"/>
  <c r="M15" i="9"/>
  <c r="G15" i="9"/>
  <c r="G16" i="9" s="1"/>
  <c r="F15" i="9"/>
  <c r="E15" i="9"/>
  <c r="N14" i="9"/>
  <c r="M14" i="9"/>
  <c r="F14" i="9"/>
  <c r="E14" i="9"/>
  <c r="E16" i="9" s="1"/>
  <c r="N13" i="9"/>
  <c r="M13" i="9"/>
  <c r="M16" i="9" s="1"/>
  <c r="F8" i="9"/>
  <c r="E8" i="9"/>
  <c r="F7" i="9"/>
  <c r="E7" i="9"/>
  <c r="N6" i="9"/>
  <c r="M6" i="9"/>
  <c r="F6" i="9"/>
  <c r="O5" i="9"/>
  <c r="L5" i="9"/>
  <c r="L9" i="9" s="1"/>
  <c r="K5" i="9"/>
  <c r="K9" i="9" s="1"/>
  <c r="K23" i="9" s="1"/>
  <c r="C28" i="9" s="1"/>
  <c r="G5" i="9"/>
  <c r="D5" i="9"/>
  <c r="D9" i="9" s="1"/>
  <c r="C5" i="9"/>
  <c r="C9" i="9" s="1"/>
  <c r="C23" i="9" s="1"/>
  <c r="N4" i="9"/>
  <c r="M4" i="9"/>
  <c r="F4" i="9"/>
  <c r="E4" i="9"/>
  <c r="F5" i="9" l="1"/>
  <c r="F16" i="9"/>
  <c r="G9" i="9"/>
  <c r="F9" i="9" s="1"/>
  <c r="N5" i="9"/>
  <c r="E5" i="9"/>
  <c r="E9" i="9" s="1"/>
  <c r="E23" i="9" s="1"/>
  <c r="M5" i="9"/>
  <c r="M9" i="9" s="1"/>
  <c r="M23" i="9" s="1"/>
  <c r="O9" i="9"/>
  <c r="G23" i="9" l="1"/>
  <c r="F23" i="9" s="1"/>
  <c r="E28" i="9"/>
  <c r="N9" i="9"/>
  <c r="O23" i="9"/>
  <c r="N23" i="9" l="1"/>
  <c r="G28" i="9"/>
  <c r="F28" i="9" s="1"/>
  <c r="G53" i="6" l="1"/>
  <c r="F18" i="2"/>
  <c r="G14" i="6"/>
  <c r="G23" i="6"/>
  <c r="G49" i="6"/>
  <c r="G28" i="6"/>
  <c r="G27" i="6"/>
  <c r="O69" i="7"/>
  <c r="O70" i="7" s="1"/>
  <c r="G69" i="7"/>
  <c r="G70" i="7" s="1"/>
  <c r="O68" i="7"/>
  <c r="G68" i="7"/>
  <c r="L65" i="7"/>
  <c r="D65" i="7"/>
  <c r="O64" i="7"/>
  <c r="O65" i="7" s="1"/>
  <c r="G64" i="7"/>
  <c r="G65" i="7" s="1"/>
  <c r="M63" i="7"/>
  <c r="L63" i="7"/>
  <c r="K63" i="7"/>
  <c r="E63" i="7"/>
  <c r="D63" i="7"/>
  <c r="C63" i="7"/>
  <c r="O62" i="7"/>
  <c r="G62" i="7"/>
  <c r="O61" i="7"/>
  <c r="G61" i="7"/>
  <c r="O52" i="7"/>
  <c r="O55" i="7" s="1"/>
  <c r="G52" i="7"/>
  <c r="G55" i="7" s="1"/>
  <c r="O51" i="7"/>
  <c r="G51" i="7"/>
  <c r="K47" i="7"/>
  <c r="O47" i="7" s="1"/>
  <c r="C47" i="7"/>
  <c r="G47" i="7" s="1"/>
  <c r="K45" i="7"/>
  <c r="K44" i="7"/>
  <c r="O44" i="7" s="1"/>
  <c r="C44" i="7"/>
  <c r="G44" i="7" s="1"/>
  <c r="K43" i="7"/>
  <c r="O43" i="7" s="1"/>
  <c r="O42" i="7" s="1"/>
  <c r="C43" i="7"/>
  <c r="G43" i="7" s="1"/>
  <c r="K41" i="7"/>
  <c r="O41" i="7" s="1"/>
  <c r="O40" i="7" s="1"/>
  <c r="C41" i="7"/>
  <c r="G41" i="7" s="1"/>
  <c r="G40" i="7" s="1"/>
  <c r="K39" i="7"/>
  <c r="O39" i="7" s="1"/>
  <c r="C39" i="7"/>
  <c r="G39" i="7" s="1"/>
  <c r="K38" i="7"/>
  <c r="O38" i="7" s="1"/>
  <c r="C38" i="7"/>
  <c r="G38" i="7" s="1"/>
  <c r="K36" i="7"/>
  <c r="O36" i="7" s="1"/>
  <c r="C36" i="7"/>
  <c r="G36" i="7" s="1"/>
  <c r="O34" i="7"/>
  <c r="G34" i="7"/>
  <c r="K33" i="7"/>
  <c r="O33" i="7" s="1"/>
  <c r="O32" i="7" s="1"/>
  <c r="C33" i="7"/>
  <c r="G33" i="7" s="1"/>
  <c r="K31" i="7"/>
  <c r="O31" i="7" s="1"/>
  <c r="C31" i="7"/>
  <c r="G31" i="7" s="1"/>
  <c r="K30" i="7"/>
  <c r="O30" i="7" s="1"/>
  <c r="C30" i="7"/>
  <c r="G30" i="7" s="1"/>
  <c r="K29" i="7"/>
  <c r="O29" i="7" s="1"/>
  <c r="C29" i="7"/>
  <c r="G29" i="7" s="1"/>
  <c r="O27" i="7"/>
  <c r="G27" i="7"/>
  <c r="O26" i="7"/>
  <c r="G26" i="7"/>
  <c r="O25" i="7"/>
  <c r="L25" i="7"/>
  <c r="G25" i="7"/>
  <c r="D25" i="7"/>
  <c r="K24" i="7"/>
  <c r="M24" i="7" s="1"/>
  <c r="C24" i="7"/>
  <c r="E24" i="7" s="1"/>
  <c r="M22" i="7"/>
  <c r="L22" i="7"/>
  <c r="K22" i="7"/>
  <c r="E22" i="7"/>
  <c r="D22" i="7"/>
  <c r="C22" i="7"/>
  <c r="O8" i="7"/>
  <c r="O22" i="7" s="1"/>
  <c r="G8" i="7"/>
  <c r="G22" i="7" s="1"/>
  <c r="G31" i="6" l="1"/>
  <c r="G51" i="6"/>
  <c r="G28" i="7"/>
  <c r="G32" i="7"/>
  <c r="G35" i="7"/>
  <c r="O35" i="7"/>
  <c r="G44" i="6"/>
  <c r="G36" i="6"/>
  <c r="G63" i="7"/>
  <c r="C64" i="7" s="1"/>
  <c r="O63" i="7"/>
  <c r="K64" i="7" s="1"/>
  <c r="K65" i="7" s="1"/>
  <c r="G30" i="6"/>
  <c r="G42" i="7"/>
  <c r="G46" i="6" s="1"/>
  <c r="G71" i="7"/>
  <c r="K23" i="7"/>
  <c r="O28" i="7"/>
  <c r="O48" i="7" s="1"/>
  <c r="O56" i="7" s="1"/>
  <c r="C23" i="7"/>
  <c r="M64" i="7" l="1"/>
  <c r="M65" i="7" s="1"/>
  <c r="O71" i="7"/>
  <c r="O73" i="7" s="1"/>
  <c r="O25" i="9" s="1"/>
  <c r="G39" i="6"/>
  <c r="G32" i="6"/>
  <c r="G48" i="7"/>
  <c r="G56" i="7" s="1"/>
  <c r="G73" i="7" s="1"/>
  <c r="G25" i="9" s="1"/>
  <c r="E64" i="7"/>
  <c r="E65" i="7" s="1"/>
  <c r="C65" i="7"/>
  <c r="E23" i="7"/>
  <c r="E25" i="7" s="1"/>
  <c r="C25" i="7"/>
  <c r="K25" i="7"/>
  <c r="M23" i="7"/>
  <c r="M25" i="7" s="1"/>
  <c r="G26" i="6" l="1"/>
  <c r="J49" i="5"/>
  <c r="J50" i="5"/>
  <c r="J51" i="5"/>
  <c r="J55" i="5"/>
  <c r="C27" i="6" l="1"/>
  <c r="K9" i="6" l="1"/>
  <c r="M9" i="6" s="1"/>
  <c r="K10" i="6"/>
  <c r="M10" i="6" s="1"/>
  <c r="D17" i="4" l="1"/>
  <c r="D16" i="4"/>
  <c r="E16" i="4"/>
  <c r="H16" i="4"/>
  <c r="L16" i="4"/>
  <c r="M16" i="4"/>
  <c r="K16" i="4"/>
  <c r="L12" i="4"/>
  <c r="L11" i="4"/>
  <c r="L9" i="4"/>
  <c r="D11" i="4"/>
  <c r="E11" i="4"/>
  <c r="F11" i="4"/>
  <c r="H11" i="4"/>
  <c r="G11" i="4" s="1"/>
  <c r="D12" i="4"/>
  <c r="E12" i="4"/>
  <c r="F12" i="4"/>
  <c r="H12" i="4"/>
  <c r="G12" i="4" s="1"/>
  <c r="D13" i="4"/>
  <c r="E13" i="4"/>
  <c r="H13" i="4"/>
  <c r="D14" i="4"/>
  <c r="E14" i="4"/>
  <c r="H14" i="4"/>
  <c r="G14" i="4" s="1"/>
  <c r="C12" i="4"/>
  <c r="C13" i="4"/>
  <c r="C14" i="4"/>
  <c r="C11" i="4"/>
  <c r="D10" i="4"/>
  <c r="E10" i="4"/>
  <c r="E15" i="4" s="1"/>
  <c r="E17" i="4" s="1"/>
  <c r="H10" i="4"/>
  <c r="G10" i="4" s="1"/>
  <c r="C10" i="4"/>
  <c r="D9" i="4"/>
  <c r="D15" i="4" s="1"/>
  <c r="E9" i="4"/>
  <c r="C9" i="2"/>
  <c r="D9" i="2"/>
  <c r="E9" i="2"/>
  <c r="E14" i="2" s="1"/>
  <c r="E28" i="2" s="1"/>
  <c r="D14" i="2"/>
  <c r="D28" i="2"/>
  <c r="G10" i="2"/>
  <c r="G11" i="2"/>
  <c r="G12" i="2"/>
  <c r="G13" i="2"/>
  <c r="G8" i="2"/>
  <c r="G16" i="4" s="1"/>
  <c r="G20" i="2"/>
  <c r="G19" i="2"/>
  <c r="G18" i="2"/>
  <c r="F19" i="2"/>
  <c r="F20" i="2"/>
  <c r="F9" i="4"/>
  <c r="D21" i="2"/>
  <c r="E21" i="2"/>
  <c r="E54" i="5"/>
  <c r="D39" i="3"/>
  <c r="E39" i="3"/>
  <c r="E36" i="3"/>
  <c r="G81" i="6"/>
  <c r="G82" i="6" s="1"/>
  <c r="E81" i="6"/>
  <c r="D81" i="6"/>
  <c r="C81" i="6"/>
  <c r="D36" i="3"/>
  <c r="E34" i="3"/>
  <c r="D32" i="3"/>
  <c r="E25" i="3"/>
  <c r="E26" i="3"/>
  <c r="E27" i="3"/>
  <c r="E28" i="3"/>
  <c r="E29" i="3"/>
  <c r="E30" i="3"/>
  <c r="E31" i="3"/>
  <c r="E24" i="3"/>
  <c r="E23" i="3"/>
  <c r="D22" i="3"/>
  <c r="L10" i="4" s="1"/>
  <c r="L15" i="4" s="1"/>
  <c r="E21" i="3"/>
  <c r="E20" i="3"/>
  <c r="D19" i="3"/>
  <c r="E18" i="3"/>
  <c r="E17" i="3"/>
  <c r="E16" i="3"/>
  <c r="E15" i="3"/>
  <c r="E14" i="3"/>
  <c r="E13" i="3"/>
  <c r="E12" i="3"/>
  <c r="E11" i="3"/>
  <c r="E10" i="3"/>
  <c r="E8" i="3"/>
  <c r="D53" i="5"/>
  <c r="E53" i="5"/>
  <c r="E48" i="5"/>
  <c r="D48" i="5"/>
  <c r="D46" i="5"/>
  <c r="E46" i="5"/>
  <c r="E36" i="5"/>
  <c r="H34" i="5"/>
  <c r="G55" i="6"/>
  <c r="D20" i="5"/>
  <c r="E20" i="5"/>
  <c r="D23" i="5"/>
  <c r="E23" i="5"/>
  <c r="D33" i="5"/>
  <c r="E33" i="5"/>
  <c r="M12" i="4" l="1"/>
  <c r="G13" i="4"/>
  <c r="F10" i="4"/>
  <c r="H34" i="3"/>
  <c r="F34" i="3" s="1"/>
  <c r="J34" i="5"/>
  <c r="F21" i="2"/>
  <c r="D40" i="3"/>
  <c r="L17" i="4" s="1"/>
  <c r="D40" i="5"/>
  <c r="E19" i="3"/>
  <c r="M9" i="4" s="1"/>
  <c r="D54" i="5"/>
  <c r="E40" i="5"/>
  <c r="E32" i="3"/>
  <c r="M11" i="4" s="1"/>
  <c r="E22" i="3"/>
  <c r="M10" i="4" s="1"/>
  <c r="F34" i="5"/>
  <c r="F39" i="3"/>
  <c r="N16" i="4" s="1"/>
  <c r="F11" i="2"/>
  <c r="F12" i="2"/>
  <c r="F13" i="2"/>
  <c r="F14" i="4" s="1"/>
  <c r="F10" i="2"/>
  <c r="F8" i="2"/>
  <c r="F16" i="4" s="1"/>
  <c r="H9" i="2"/>
  <c r="C16" i="4"/>
  <c r="C9" i="4"/>
  <c r="C15" i="4" s="1"/>
  <c r="C33" i="3"/>
  <c r="C23" i="3"/>
  <c r="C24" i="3"/>
  <c r="C25" i="3"/>
  <c r="C26" i="3"/>
  <c r="C27" i="3"/>
  <c r="C28" i="3"/>
  <c r="C29" i="3"/>
  <c r="C30" i="3"/>
  <c r="C31" i="3"/>
  <c r="C20" i="3"/>
  <c r="C21" i="3"/>
  <c r="C17" i="3"/>
  <c r="C16" i="3"/>
  <c r="C9" i="3"/>
  <c r="C10" i="3"/>
  <c r="C11" i="3"/>
  <c r="C12" i="3"/>
  <c r="C13" i="3"/>
  <c r="C14" i="3"/>
  <c r="C15" i="3"/>
  <c r="C18" i="3"/>
  <c r="F18" i="3" s="1"/>
  <c r="C8" i="3"/>
  <c r="C53" i="5"/>
  <c r="C48" i="5"/>
  <c r="C46" i="5"/>
  <c r="C20" i="5"/>
  <c r="C23" i="5"/>
  <c r="C33" i="5"/>
  <c r="C36" i="5"/>
  <c r="C39" i="5"/>
  <c r="H9" i="5"/>
  <c r="J9" i="5" s="1"/>
  <c r="H11" i="5"/>
  <c r="J11" i="5" s="1"/>
  <c r="G9" i="2" l="1"/>
  <c r="H14" i="2"/>
  <c r="M15" i="4"/>
  <c r="E40" i="3"/>
  <c r="M17" i="4" s="1"/>
  <c r="F9" i="2"/>
  <c r="F14" i="2" s="1"/>
  <c r="F28" i="2" s="1"/>
  <c r="F13" i="4"/>
  <c r="F15" i="4" s="1"/>
  <c r="F17" i="4" s="1"/>
  <c r="D56" i="5"/>
  <c r="G9" i="5"/>
  <c r="F9" i="5"/>
  <c r="G11" i="5"/>
  <c r="F11" i="5"/>
  <c r="C54" i="5"/>
  <c r="C40" i="5"/>
  <c r="C56" i="5" l="1"/>
  <c r="H47" i="5"/>
  <c r="J47" i="5" s="1"/>
  <c r="H45" i="5"/>
  <c r="J45" i="5" s="1"/>
  <c r="H44" i="5"/>
  <c r="J44" i="5" s="1"/>
  <c r="F49" i="5"/>
  <c r="F50" i="5"/>
  <c r="F51" i="5"/>
  <c r="J52" i="5" l="1"/>
  <c r="F44" i="5"/>
  <c r="G44" i="5"/>
  <c r="G45" i="5"/>
  <c r="F45" i="5"/>
  <c r="F47" i="5"/>
  <c r="G47" i="5"/>
  <c r="G52" i="5"/>
  <c r="F52" i="5"/>
  <c r="F17" i="3"/>
  <c r="H17" i="3"/>
  <c r="O12" i="4"/>
  <c r="H48" i="5"/>
  <c r="J48" i="5" s="1"/>
  <c r="H46" i="5"/>
  <c r="J46" i="5" s="1"/>
  <c r="H53" i="5"/>
  <c r="J53" i="5" s="1"/>
  <c r="G53" i="5" l="1"/>
  <c r="F53" i="5"/>
  <c r="G46" i="5"/>
  <c r="F46" i="5"/>
  <c r="F48" i="5"/>
  <c r="G48" i="5"/>
  <c r="H54" i="5"/>
  <c r="J54" i="5" s="1"/>
  <c r="G67" i="6"/>
  <c r="F54" i="5" l="1"/>
  <c r="G54" i="5"/>
  <c r="G72" i="6"/>
  <c r="G69" i="6"/>
  <c r="D69" i="6"/>
  <c r="C68" i="6"/>
  <c r="C69" i="6" s="1"/>
  <c r="E67" i="6"/>
  <c r="D67" i="6"/>
  <c r="C67" i="6"/>
  <c r="G74" i="6" l="1"/>
  <c r="G75" i="6" s="1"/>
  <c r="E68" i="6"/>
  <c r="E69" i="6" s="1"/>
  <c r="H31" i="5" l="1"/>
  <c r="J31" i="5" s="1"/>
  <c r="H22" i="5"/>
  <c r="J22" i="5" s="1"/>
  <c r="F8" i="3"/>
  <c r="H21" i="3" l="1"/>
  <c r="G21" i="3" s="1"/>
  <c r="G22" i="5"/>
  <c r="F22" i="5"/>
  <c r="F21" i="3" s="1"/>
  <c r="H30" i="3"/>
  <c r="G31" i="5"/>
  <c r="F31" i="5"/>
  <c r="H13" i="5"/>
  <c r="J13" i="5" s="1"/>
  <c r="C28" i="6"/>
  <c r="F13" i="5" l="1"/>
  <c r="G13" i="5"/>
  <c r="I30" i="6" l="1"/>
  <c r="I31" i="6"/>
  <c r="I38" i="6"/>
  <c r="G37" i="6"/>
  <c r="I37" i="6" s="1"/>
  <c r="G33" i="6"/>
  <c r="I33" i="6" s="1"/>
  <c r="G34" i="6"/>
  <c r="I34" i="6" s="1"/>
  <c r="G35" i="6"/>
  <c r="I35" i="6" s="1"/>
  <c r="H35" i="5" l="1"/>
  <c r="H21" i="5"/>
  <c r="J21" i="5" s="1"/>
  <c r="H17" i="5"/>
  <c r="J17" i="5" s="1"/>
  <c r="H10" i="5"/>
  <c r="F10" i="5" l="1"/>
  <c r="J10" i="5"/>
  <c r="F35" i="5"/>
  <c r="F36" i="5" s="1"/>
  <c r="H36" i="5"/>
  <c r="J36" i="5" s="1"/>
  <c r="G21" i="5"/>
  <c r="F21" i="5"/>
  <c r="F20" i="3" s="1"/>
  <c r="F22" i="3" s="1"/>
  <c r="N10" i="4" s="1"/>
  <c r="H16" i="3"/>
  <c r="F17" i="5"/>
  <c r="F16" i="3" s="1"/>
  <c r="G17" i="5"/>
  <c r="H20" i="3"/>
  <c r="G20" i="3" s="1"/>
  <c r="F30" i="3"/>
  <c r="G38" i="3"/>
  <c r="G37" i="3"/>
  <c r="H35" i="3"/>
  <c r="P12" i="4" s="1"/>
  <c r="F23" i="5" l="1"/>
  <c r="H36" i="3"/>
  <c r="G36" i="3" s="1"/>
  <c r="G39" i="3"/>
  <c r="O16" i="4" s="1"/>
  <c r="C39" i="3"/>
  <c r="F35" i="3" l="1"/>
  <c r="G56" i="6"/>
  <c r="H37" i="5" s="1"/>
  <c r="F37" i="5" s="1"/>
  <c r="H38" i="5"/>
  <c r="F38" i="5" s="1"/>
  <c r="F36" i="3" l="1"/>
  <c r="N12" i="4"/>
  <c r="H38" i="3"/>
  <c r="H37" i="3"/>
  <c r="H39" i="5"/>
  <c r="G59" i="6"/>
  <c r="H39" i="3" l="1"/>
  <c r="P16" i="4" s="1"/>
  <c r="F39" i="5"/>
  <c r="H16" i="5"/>
  <c r="H18" i="5"/>
  <c r="H19" i="5"/>
  <c r="H12" i="5"/>
  <c r="J12" i="5" s="1"/>
  <c r="H14" i="5"/>
  <c r="J14" i="5" s="1"/>
  <c r="H15" i="5"/>
  <c r="H25" i="5"/>
  <c r="J25" i="5" s="1"/>
  <c r="H24" i="5"/>
  <c r="J24" i="5" s="1"/>
  <c r="H32" i="5"/>
  <c r="J32" i="5" s="1"/>
  <c r="G30" i="3"/>
  <c r="G48" i="6"/>
  <c r="I48" i="6" s="1"/>
  <c r="G47" i="6"/>
  <c r="I47" i="6" s="1"/>
  <c r="F16" i="5" l="1"/>
  <c r="J16" i="5"/>
  <c r="F19" i="5"/>
  <c r="J19" i="5"/>
  <c r="F15" i="5"/>
  <c r="J15" i="5"/>
  <c r="F18" i="5"/>
  <c r="J18" i="5"/>
  <c r="F14" i="5"/>
  <c r="G14" i="5"/>
  <c r="G32" i="5"/>
  <c r="G31" i="3" s="1"/>
  <c r="F32" i="5"/>
  <c r="F31" i="3" s="1"/>
  <c r="F24" i="5"/>
  <c r="F23" i="3" s="1"/>
  <c r="G24" i="5"/>
  <c r="G23" i="3" s="1"/>
  <c r="F25" i="5"/>
  <c r="F24" i="3" s="1"/>
  <c r="G25" i="5"/>
  <c r="G24" i="3" s="1"/>
  <c r="G12" i="5"/>
  <c r="F12" i="5"/>
  <c r="H20" i="5"/>
  <c r="H24" i="3"/>
  <c r="H23" i="3"/>
  <c r="H29" i="5"/>
  <c r="J29" i="5" s="1"/>
  <c r="G42" i="6"/>
  <c r="I42" i="6" s="1"/>
  <c r="G40" i="6"/>
  <c r="G29" i="6"/>
  <c r="D29" i="6"/>
  <c r="C29" i="6"/>
  <c r="D26" i="6"/>
  <c r="C26" i="6"/>
  <c r="G20" i="5" l="1"/>
  <c r="J20" i="5"/>
  <c r="F20" i="5"/>
  <c r="G29" i="5"/>
  <c r="G28" i="3" s="1"/>
  <c r="F29" i="5"/>
  <c r="F28" i="3" s="1"/>
  <c r="H27" i="5"/>
  <c r="J27" i="5" s="1"/>
  <c r="E26" i="6"/>
  <c r="E29" i="6"/>
  <c r="G52" i="6" l="1"/>
  <c r="G60" i="6" s="1"/>
  <c r="G84" i="6" s="1"/>
  <c r="G27" i="5"/>
  <c r="G26" i="3" s="1"/>
  <c r="F27" i="5"/>
  <c r="F26" i="3" s="1"/>
  <c r="H30" i="5"/>
  <c r="J30" i="5" s="1"/>
  <c r="I39" i="6"/>
  <c r="I49" i="6" s="1"/>
  <c r="C49" i="6" s="1"/>
  <c r="H28" i="5"/>
  <c r="J28" i="5" s="1"/>
  <c r="H26" i="5"/>
  <c r="J26" i="5" s="1"/>
  <c r="F26" i="5" l="1"/>
  <c r="F25" i="3" s="1"/>
  <c r="G26" i="5"/>
  <c r="G25" i="3" s="1"/>
  <c r="F30" i="5"/>
  <c r="F29" i="3" s="1"/>
  <c r="G30" i="5"/>
  <c r="G29" i="3" s="1"/>
  <c r="G28" i="5"/>
  <c r="F28" i="5"/>
  <c r="F27" i="3" s="1"/>
  <c r="H33" i="5"/>
  <c r="C26" i="2"/>
  <c r="C21" i="2"/>
  <c r="C35" i="3"/>
  <c r="C36" i="3" l="1"/>
  <c r="K12" i="4"/>
  <c r="G33" i="5"/>
  <c r="J33" i="5"/>
  <c r="F32" i="3"/>
  <c r="N11" i="4" s="1"/>
  <c r="C14" i="2"/>
  <c r="G14" i="2" s="1"/>
  <c r="C17" i="4"/>
  <c r="C22" i="3"/>
  <c r="K10" i="4" s="1"/>
  <c r="C32" i="3"/>
  <c r="K11" i="4" s="1"/>
  <c r="C19" i="3"/>
  <c r="K9" i="4" s="1"/>
  <c r="C28" i="2" l="1"/>
  <c r="C40" i="3"/>
  <c r="K17" i="4" s="1"/>
  <c r="K15" i="4"/>
  <c r="H21" i="2"/>
  <c r="G21" i="2" s="1"/>
  <c r="H23" i="5" l="1"/>
  <c r="J23" i="5" s="1"/>
  <c r="H40" i="5" l="1"/>
  <c r="G23" i="5"/>
  <c r="H26" i="2"/>
  <c r="H28" i="2" s="1"/>
  <c r="J56" i="5" l="1"/>
  <c r="J40" i="5"/>
  <c r="G40" i="5"/>
  <c r="G28" i="2"/>
  <c r="H9" i="4"/>
  <c r="H27" i="3"/>
  <c r="H26" i="3"/>
  <c r="H25" i="3"/>
  <c r="F26" i="2"/>
  <c r="G56" i="5" l="1"/>
  <c r="G9" i="4"/>
  <c r="H15" i="4"/>
  <c r="H22" i="3"/>
  <c r="P10" i="4" s="1"/>
  <c r="H15" i="3"/>
  <c r="F15" i="3" s="1"/>
  <c r="H14" i="3"/>
  <c r="F14" i="3" s="1"/>
  <c r="H13" i="3"/>
  <c r="H12" i="3"/>
  <c r="H11" i="3"/>
  <c r="H10" i="3"/>
  <c r="F10" i="3" s="1"/>
  <c r="H9" i="3"/>
  <c r="F9" i="3" s="1"/>
  <c r="H8" i="3"/>
  <c r="G15" i="4" l="1"/>
  <c r="G17" i="4" s="1"/>
  <c r="H17" i="4"/>
  <c r="F12" i="3"/>
  <c r="F13" i="3"/>
  <c r="F11" i="3"/>
  <c r="O10" i="4"/>
  <c r="H19" i="3"/>
  <c r="P9" i="4" l="1"/>
  <c r="F19" i="3"/>
  <c r="N9" i="4" s="1"/>
  <c r="N15" i="4" s="1"/>
  <c r="O9" i="4"/>
  <c r="F40" i="3" l="1"/>
  <c r="N17" i="4" s="1"/>
  <c r="F33" i="5"/>
  <c r="F40" i="5" s="1"/>
  <c r="H31" i="3" l="1"/>
  <c r="H29" i="3" l="1"/>
  <c r="H28" i="3"/>
  <c r="H32" i="3" l="1"/>
  <c r="H40" i="3" l="1"/>
  <c r="P17" i="4" s="1"/>
  <c r="P11" i="4"/>
  <c r="P15" i="4" s="1"/>
  <c r="O11" i="4"/>
  <c r="O15" i="4" s="1"/>
  <c r="O17" i="4" l="1"/>
  <c r="H30" i="2"/>
</calcChain>
</file>

<file path=xl/sharedStrings.xml><?xml version="1.0" encoding="utf-8"?>
<sst xmlns="http://schemas.openxmlformats.org/spreadsheetml/2006/main" count="677" uniqueCount="176">
  <si>
    <t>Főkönyvi szám</t>
  </si>
  <si>
    <t>Kiadások összesen</t>
  </si>
  <si>
    <t>0981311</t>
  </si>
  <si>
    <t>098161</t>
  </si>
  <si>
    <t>05110111</t>
  </si>
  <si>
    <t>0511021</t>
  </si>
  <si>
    <t>0511041</t>
  </si>
  <si>
    <t>0511061</t>
  </si>
  <si>
    <t>0511091</t>
  </si>
  <si>
    <t>0511101</t>
  </si>
  <si>
    <t>0511131</t>
  </si>
  <si>
    <t>051221</t>
  </si>
  <si>
    <t>05211</t>
  </si>
  <si>
    <t>05261</t>
  </si>
  <si>
    <t>053111</t>
  </si>
  <si>
    <t>053121</t>
  </si>
  <si>
    <t>0532211</t>
  </si>
  <si>
    <t>053361</t>
  </si>
  <si>
    <t>053371</t>
  </si>
  <si>
    <t>053411</t>
  </si>
  <si>
    <t>053511</t>
  </si>
  <si>
    <t>053551</t>
  </si>
  <si>
    <t>Főkönyvi szám neve</t>
  </si>
  <si>
    <t>Előző év költségvetési maradványának igénybevétele</t>
  </si>
  <si>
    <t>Központi, irányító szervi támogatás</t>
  </si>
  <si>
    <t>Köztisztviselők,közalkalmazottak bére</t>
  </si>
  <si>
    <t>Normatív jutalmak</t>
  </si>
  <si>
    <t>Készenléti, ügyeleti, helyettesítési díj, túlóra, túlszolgálat</t>
  </si>
  <si>
    <t>Jubileumi jutalom</t>
  </si>
  <si>
    <t>Közlekedési költségtérítés</t>
  </si>
  <si>
    <t>Egyéb költségtérítések</t>
  </si>
  <si>
    <t>Foglalkoztatottak egyéb személyi juttatásai</t>
  </si>
  <si>
    <t>Munkavégzésre irányuló egyéb jogviszonyban nem saját foglalkoztatottnak fizetett juttatások</t>
  </si>
  <si>
    <t>Szociális hozzájárulási adó</t>
  </si>
  <si>
    <t>Más járulék fizetési kötelezettség</t>
  </si>
  <si>
    <t>Szakmai anyagok beszerzése</t>
  </si>
  <si>
    <t>Üzemeltetési anyagok beszerzése</t>
  </si>
  <si>
    <t>Szakmai tevékenységet segítő szolgáltatások</t>
  </si>
  <si>
    <t>Egyéb szolgáltatások</t>
  </si>
  <si>
    <t>Kiküldetések kiadásai</t>
  </si>
  <si>
    <t>Működési célú előzetesen felszámított általános forgalmi adó</t>
  </si>
  <si>
    <t>Egyéb dologi kiadások</t>
  </si>
  <si>
    <t>Bevételek</t>
  </si>
  <si>
    <t>Személyi juttatások</t>
  </si>
  <si>
    <t>Munkaadót terhelő járulékok</t>
  </si>
  <si>
    <t>Dologi kiadások</t>
  </si>
  <si>
    <t>Kiadások</t>
  </si>
  <si>
    <t>Főkönyvi szám név</t>
  </si>
  <si>
    <t>Kiadás összesen:</t>
  </si>
  <si>
    <t>Kiadások kormányati funkciók (COFOG) szerinti bontásban</t>
  </si>
  <si>
    <t>Munkaadót terh. befizetések</t>
  </si>
  <si>
    <t>Intézmény fin.(önkorm.hozzáj.)</t>
  </si>
  <si>
    <t>Tárgyévi működési kiadások</t>
  </si>
  <si>
    <t>Pénzmaradvány</t>
  </si>
  <si>
    <t>Mindösszesen</t>
  </si>
  <si>
    <t>Mérleg</t>
  </si>
  <si>
    <t>0512361</t>
  </si>
  <si>
    <t>Reprezentáció</t>
  </si>
  <si>
    <t>adatok: Ft-ban</t>
  </si>
  <si>
    <t xml:space="preserve">Összes intézményi kiadás: </t>
  </si>
  <si>
    <t>adatok: ezer Ft-ban</t>
  </si>
  <si>
    <t>Megnevezés</t>
  </si>
  <si>
    <t>052</t>
  </si>
  <si>
    <t>053</t>
  </si>
  <si>
    <t>09813</t>
  </si>
  <si>
    <t>09816</t>
  </si>
  <si>
    <t>Bevételek - COFOG: 018030</t>
  </si>
  <si>
    <t>%</t>
  </si>
  <si>
    <t>Eredeti EI</t>
  </si>
  <si>
    <t>051</t>
  </si>
  <si>
    <t>Egyéb dologi kiadások - kerekítési különbözet</t>
  </si>
  <si>
    <t>09411</t>
  </si>
  <si>
    <t xml:space="preserve">Egyéb működési bevételek </t>
  </si>
  <si>
    <t>Összesen:</t>
  </si>
  <si>
    <t>Bevételek összesen:</t>
  </si>
  <si>
    <t>Egyéb működési bevételek</t>
  </si>
  <si>
    <t>Piliscsévi Közös Önkormányzati Hivatal</t>
  </si>
  <si>
    <t>011130 - Önkormányzatok és önkormányzati hivatalok jogalkotó és általános igazgatási tevékenysége</t>
  </si>
  <si>
    <t>0511071</t>
  </si>
  <si>
    <t>Béren kívüli juttatások</t>
  </si>
  <si>
    <t>0511121</t>
  </si>
  <si>
    <t>Szociális támogatások</t>
  </si>
  <si>
    <t>Munkaadót terhelő járulékok:</t>
  </si>
  <si>
    <t>053211</t>
  </si>
  <si>
    <t>Informatikai szolgáltatások igénybevétele</t>
  </si>
  <si>
    <t xml:space="preserve">Egyéb kommunikációs szolgáltatások </t>
  </si>
  <si>
    <t>0511031</t>
  </si>
  <si>
    <t>Céljuttatás, projektprémium</t>
  </si>
  <si>
    <t>055131</t>
  </si>
  <si>
    <t>Tartalékok előirányzata</t>
  </si>
  <si>
    <t>053221</t>
  </si>
  <si>
    <t>Bevételek - COFOG: 011130</t>
  </si>
  <si>
    <t>09161</t>
  </si>
  <si>
    <t>0940821</t>
  </si>
  <si>
    <t>Egyéb kapott (járó) kamatok és kamatjellegű bevételek</t>
  </si>
  <si>
    <t>Bevételek - COFOG: 016010</t>
  </si>
  <si>
    <t>Központi kezelésű előirányzattól működési célú támogatások bevételei</t>
  </si>
  <si>
    <t>-ebből fenntartói támogatás (Piliscsév)</t>
  </si>
  <si>
    <t>Egyéb működési célú támogatások bevételei államháztartáson belülről (Leányvár)</t>
  </si>
  <si>
    <t>094</t>
  </si>
  <si>
    <t xml:space="preserve">Egyéb működési c. tám. </t>
  </si>
  <si>
    <t>Tárgyévi működési bevételek</t>
  </si>
  <si>
    <t>055</t>
  </si>
  <si>
    <t>Változás</t>
  </si>
  <si>
    <t>"WinSzoc"</t>
  </si>
  <si>
    <t>Telefonszámla</t>
  </si>
  <si>
    <t>egyéb</t>
  </si>
  <si>
    <t>Mobil internet díja</t>
  </si>
  <si>
    <t>probono normatíva</t>
  </si>
  <si>
    <t>egyéb továbbképzések</t>
  </si>
  <si>
    <t>bankköltség</t>
  </si>
  <si>
    <t>Márti munkábajárás</t>
  </si>
  <si>
    <t>egyéb kiküldetés</t>
  </si>
  <si>
    <t>kerekítési különbözet</t>
  </si>
  <si>
    <t>05641</t>
  </si>
  <si>
    <t>tárgyi eszköz</t>
  </si>
  <si>
    <t>beruházási áfa</t>
  </si>
  <si>
    <t>05671</t>
  </si>
  <si>
    <t>Beruházási kiadások</t>
  </si>
  <si>
    <t>Tárgyi eszköz beszerzés</t>
  </si>
  <si>
    <t>Beruházási áfa</t>
  </si>
  <si>
    <t>Beruházási áfa kiadásai</t>
  </si>
  <si>
    <t>056</t>
  </si>
  <si>
    <t>Beruházás</t>
  </si>
  <si>
    <t>egyéb számlás szolgáltatás</t>
  </si>
  <si>
    <t>AAM</t>
  </si>
  <si>
    <t>Hanganov</t>
  </si>
  <si>
    <t>ÁFA</t>
  </si>
  <si>
    <t>013210 - Átfogó tervezési és statisztikai szolgáltatások</t>
  </si>
  <si>
    <t>055061</t>
  </si>
  <si>
    <t>egyéb működési célú támogatások államháztartáson belülre</t>
  </si>
  <si>
    <t>egyéb juttatás</t>
  </si>
  <si>
    <t>Egyéb működési célú támogatások államháztartáson belülre</t>
  </si>
  <si>
    <t>Egyéb működési c. áh.-n belül</t>
  </si>
  <si>
    <t>-ebből állami normatív támogatás Leányvár</t>
  </si>
  <si>
    <t>-ebből állami normatív támogatás Piliscsév</t>
  </si>
  <si>
    <t>Leányvár bérek</t>
  </si>
  <si>
    <t>Piliscsév bérek</t>
  </si>
  <si>
    <t>I. sz módosítás</t>
  </si>
  <si>
    <t>I.sz módosítás</t>
  </si>
  <si>
    <t>-ebből 2023. évi bérkiegészíté</t>
  </si>
  <si>
    <t>Intézmény fin.(bérkiegészítés)</t>
  </si>
  <si>
    <t>II. sz módosítás</t>
  </si>
  <si>
    <t>2023. évi II. sz előirányzat módosítás</t>
  </si>
  <si>
    <t>II.sz módosítás</t>
  </si>
  <si>
    <t>Teljesítés</t>
  </si>
  <si>
    <t>055121</t>
  </si>
  <si>
    <t>Egyéb civil, vagy más nonprofit szervezetnek egyéb működési célú támogatások kiadásai</t>
  </si>
  <si>
    <t>Egyéb civil támogatások</t>
  </si>
  <si>
    <t>Egyéb működési célú kiadások</t>
  </si>
  <si>
    <t>018030 - Támogatási célú finanszírozási műveletek</t>
  </si>
  <si>
    <t>Központi költségvetési szervnek egyéb működési célú végleges támogatás kiadásai</t>
  </si>
  <si>
    <t>Intézmény fin.(állami tám.) Leányvár</t>
  </si>
  <si>
    <t>Intézmény fin.(állami tám.) Piliscsév</t>
  </si>
  <si>
    <t>maradvány</t>
  </si>
  <si>
    <t>Összesen</t>
  </si>
  <si>
    <t>SZÉP</t>
  </si>
  <si>
    <t>Évvége Leányvár</t>
  </si>
  <si>
    <t>Évvége Piliscsév</t>
  </si>
  <si>
    <t>Leányvár évvége</t>
  </si>
  <si>
    <t>Piliscsév évvége</t>
  </si>
  <si>
    <t>011130 - Önkormányzatok és önkormányzati hivatalok jogalkotó és általános igazgatási tevékenysége Piliscsév</t>
  </si>
  <si>
    <t>011130 - Önkormányzatok és önkormányzati hivatalok jogalkotó és általános igazgatási tevékenysége Leányvár</t>
  </si>
  <si>
    <t>Leányvári bérek</t>
  </si>
  <si>
    <t>013210 - Átfogó tervezési és statisztikai szolgáltatások Piliscsév</t>
  </si>
  <si>
    <t>013210 - Átfogó tervezési és statisztikai szolgáltatások Leányvár</t>
  </si>
  <si>
    <t>Bevételek - COFOG: 018030 Piliscsév</t>
  </si>
  <si>
    <t>Bevételek - COFOG: 018030 Leányvár</t>
  </si>
  <si>
    <t>-ebből bértámogatás</t>
  </si>
  <si>
    <t>Bevételek összesen (PCS + L):</t>
  </si>
  <si>
    <t>II.sz mód</t>
  </si>
  <si>
    <t>I.sz mód</t>
  </si>
  <si>
    <t>I. sz mód</t>
  </si>
  <si>
    <t>Jegyző (50-50)</t>
  </si>
  <si>
    <t>évközi</t>
  </si>
  <si>
    <t>évvégi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</si>
</sst>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F_t_-;\-* #,##0.00\ _F_t_-;_-* &quot;-&quot;??\ _F_t_-;_-@_-"/>
    <numFmt numFmtId="165" formatCode="[$-1040E]#,##0\ &quot;Ft&quot;"/>
    <numFmt numFmtId="166" formatCode="_-* #,##0\ _F_t_-;\-* #,##0\ _F_t_-;_-* &quot;-&quot;??\ _F_t_-;_-@_-"/>
    <numFmt numFmtId="167" formatCode="#,##0.000"/>
  </numFmts>
  <fonts count="32" x14ac:knownFonts="1">
    <font>
      <sz val="10"/>
      <name val="Arial"/>
    </font>
    <font>
      <sz val="9"/>
      <name val="Times New Roman"/>
      <family val="1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9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7"/>
      <color indexed="8"/>
      <name val="Verdana"/>
      <family val="2"/>
      <charset val="238"/>
    </font>
    <font>
      <sz val="7"/>
      <color indexed="8"/>
      <name val="Verdana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7"/>
      <color indexed="8"/>
      <name val="Verdana"/>
      <family val="2"/>
      <charset val="238"/>
    </font>
    <font>
      <i/>
      <sz val="10"/>
      <name val="Times New Roman"/>
      <family val="1"/>
      <charset val="238"/>
    </font>
    <font>
      <i/>
      <sz val="10"/>
      <name val="Arial"/>
      <family val="2"/>
      <charset val="238"/>
    </font>
    <font>
      <i/>
      <sz val="9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b/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i/>
      <sz val="10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7"/>
      <color indexed="8"/>
      <name val="Verdana"/>
      <family val="2"/>
      <charset val="238"/>
    </font>
    <font>
      <b/>
      <sz val="1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63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3"/>
      </patternFill>
    </fill>
    <fill>
      <patternFill patternType="solid">
        <fgColor indexed="13"/>
        <bgColor indexed="0"/>
      </patternFill>
    </fill>
    <fill>
      <patternFill patternType="solid">
        <fgColor indexed="42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164" fontId="16" fillId="0" borderId="0" quotePrefix="1" applyFont="0" applyFill="0" applyBorder="0" applyAlignment="0">
      <protection locked="0"/>
    </xf>
    <xf numFmtId="9" fontId="16" fillId="0" borderId="0" quotePrefix="1" applyFont="0" applyFill="0" applyBorder="0" applyAlignment="0">
      <protection locked="0"/>
    </xf>
    <xf numFmtId="0" fontId="16" fillId="0" borderId="0"/>
  </cellStyleXfs>
  <cellXfs count="480">
    <xf numFmtId="0" fontId="0" fillId="0" borderId="0" xfId="0"/>
    <xf numFmtId="49" fontId="1" fillId="3" borderId="3" xfId="0" applyNumberFormat="1" applyFont="1" applyFill="1" applyBorder="1" applyAlignment="1">
      <alignment horizontal="left" vertical="center" wrapText="1" shrinkToFit="1"/>
    </xf>
    <xf numFmtId="49" fontId="1" fillId="3" borderId="4" xfId="0" applyNumberFormat="1" applyFont="1" applyFill="1" applyBorder="1" applyAlignment="1">
      <alignment vertical="center" wrapText="1" shrinkToFit="1"/>
    </xf>
    <xf numFmtId="3" fontId="1" fillId="3" borderId="4" xfId="0" applyNumberFormat="1" applyFont="1" applyFill="1" applyBorder="1" applyAlignment="1">
      <alignment vertical="center" wrapText="1" shrinkToFit="1"/>
    </xf>
    <xf numFmtId="49" fontId="1" fillId="3" borderId="6" xfId="0" applyNumberFormat="1" applyFont="1" applyFill="1" applyBorder="1" applyAlignment="1">
      <alignment vertical="center" wrapText="1" shrinkToFit="1"/>
    </xf>
    <xf numFmtId="3" fontId="8" fillId="4" borderId="8" xfId="0" applyNumberFormat="1" applyFont="1" applyFill="1" applyBorder="1"/>
    <xf numFmtId="49" fontId="1" fillId="3" borderId="11" xfId="0" applyNumberFormat="1" applyFont="1" applyFill="1" applyBorder="1" applyAlignment="1">
      <alignment vertical="center" wrapText="1" shrinkToFit="1"/>
    </xf>
    <xf numFmtId="49" fontId="1" fillId="3" borderId="5" xfId="0" applyNumberFormat="1" applyFont="1" applyFill="1" applyBorder="1" applyAlignment="1">
      <alignment vertical="center" wrapText="1" shrinkToFit="1"/>
    </xf>
    <xf numFmtId="49" fontId="1" fillId="3" borderId="3" xfId="0" applyNumberFormat="1" applyFont="1" applyFill="1" applyBorder="1" applyAlignment="1">
      <alignment vertical="center" wrapText="1" shrinkToFit="1"/>
    </xf>
    <xf numFmtId="0" fontId="14" fillId="0" borderId="11" xfId="0" applyFont="1" applyBorder="1" applyAlignment="1" applyProtection="1">
      <alignment vertical="center" wrapText="1" readingOrder="1"/>
      <protection locked="0"/>
    </xf>
    <xf numFmtId="0" fontId="14" fillId="0" borderId="5" xfId="0" applyFont="1" applyBorder="1" applyAlignment="1" applyProtection="1">
      <alignment vertical="center" wrapText="1" readingOrder="1"/>
      <protection locked="0"/>
    </xf>
    <xf numFmtId="3" fontId="15" fillId="0" borderId="0" xfId="0" applyNumberFormat="1" applyFont="1" applyAlignment="1">
      <alignment horizontal="center" vertical="center"/>
    </xf>
    <xf numFmtId="165" fontId="0" fillId="0" borderId="0" xfId="0" applyNumberFormat="1"/>
    <xf numFmtId="0" fontId="2" fillId="0" borderId="0" xfId="0" applyFont="1"/>
    <xf numFmtId="0" fontId="18" fillId="0" borderId="0" xfId="0" applyFont="1" applyAlignment="1">
      <alignment horizontal="right"/>
    </xf>
    <xf numFmtId="0" fontId="5" fillId="0" borderId="0" xfId="0" applyFont="1"/>
    <xf numFmtId="166" fontId="0" fillId="0" borderId="0" xfId="1" applyNumberFormat="1" applyFont="1" applyFill="1">
      <protection locked="0"/>
    </xf>
    <xf numFmtId="166" fontId="5" fillId="0" borderId="0" xfId="1" applyNumberFormat="1" applyFont="1" applyFill="1">
      <protection locked="0"/>
    </xf>
    <xf numFmtId="0" fontId="14" fillId="0" borderId="3" xfId="0" applyFont="1" applyBorder="1" applyAlignment="1" applyProtection="1">
      <alignment vertical="center" wrapText="1" readingOrder="1"/>
      <protection locked="0"/>
    </xf>
    <xf numFmtId="0" fontId="19" fillId="0" borderId="0" xfId="0" applyFont="1" applyAlignment="1">
      <alignment horizontal="right"/>
    </xf>
    <xf numFmtId="3" fontId="14" fillId="0" borderId="2" xfId="0" applyNumberFormat="1" applyFont="1" applyBorder="1" applyAlignment="1" applyProtection="1">
      <alignment vertical="center" wrapText="1" readingOrder="1"/>
      <protection locked="0"/>
    </xf>
    <xf numFmtId="3" fontId="14" fillId="0" borderId="15" xfId="0" applyNumberFormat="1" applyFont="1" applyBorder="1" applyAlignment="1" applyProtection="1">
      <alignment vertical="center" wrapText="1" readingOrder="1"/>
      <protection locked="0"/>
    </xf>
    <xf numFmtId="3" fontId="14" fillId="0" borderId="20" xfId="0" applyNumberFormat="1" applyFont="1" applyBorder="1" applyAlignment="1" applyProtection="1">
      <alignment vertical="center" wrapText="1" readingOrder="1"/>
      <protection locked="0"/>
    </xf>
    <xf numFmtId="3" fontId="1" fillId="3" borderId="0" xfId="0" applyNumberFormat="1" applyFont="1" applyFill="1" applyAlignment="1">
      <alignment horizontal="right" vertical="center" wrapText="1" shrinkToFit="1"/>
    </xf>
    <xf numFmtId="3" fontId="10" fillId="11" borderId="8" xfId="0" applyNumberFormat="1" applyFont="1" applyFill="1" applyBorder="1" applyAlignment="1">
      <alignment horizontal="right" vertical="center" wrapText="1" shrinkToFit="1"/>
    </xf>
    <xf numFmtId="0" fontId="4" fillId="9" borderId="19" xfId="0" applyFont="1" applyFill="1" applyBorder="1" applyAlignment="1">
      <alignment horizontal="center" vertical="center" wrapText="1" shrinkToFit="1"/>
    </xf>
    <xf numFmtId="3" fontId="21" fillId="0" borderId="0" xfId="0" applyNumberFormat="1" applyFont="1"/>
    <xf numFmtId="0" fontId="5" fillId="12" borderId="26" xfId="0" applyFont="1" applyFill="1" applyBorder="1"/>
    <xf numFmtId="0" fontId="5" fillId="12" borderId="27" xfId="0" applyFont="1" applyFill="1" applyBorder="1"/>
    <xf numFmtId="3" fontId="5" fillId="12" borderId="25" xfId="0" applyNumberFormat="1" applyFont="1" applyFill="1" applyBorder="1"/>
    <xf numFmtId="0" fontId="0" fillId="0" borderId="32" xfId="0" applyBorder="1"/>
    <xf numFmtId="3" fontId="0" fillId="0" borderId="0" xfId="0" applyNumberFormat="1"/>
    <xf numFmtId="3" fontId="0" fillId="0" borderId="33" xfId="0" applyNumberFormat="1" applyBorder="1"/>
    <xf numFmtId="0" fontId="4" fillId="2" borderId="1" xfId="0" applyFont="1" applyFill="1" applyBorder="1" applyAlignment="1">
      <alignment horizontal="center" vertical="center" wrapText="1" shrinkToFit="1"/>
    </xf>
    <xf numFmtId="49" fontId="14" fillId="0" borderId="3" xfId="0" applyNumberFormat="1" applyFont="1" applyBorder="1" applyAlignment="1" applyProtection="1">
      <alignment vertical="center" wrapText="1" readingOrder="1"/>
      <protection locked="0"/>
    </xf>
    <xf numFmtId="0" fontId="14" fillId="0" borderId="22" xfId="0" applyFont="1" applyBorder="1" applyAlignment="1" applyProtection="1">
      <alignment vertical="center" wrapText="1" readingOrder="1"/>
      <protection locked="0"/>
    </xf>
    <xf numFmtId="3" fontId="17" fillId="12" borderId="8" xfId="0" applyNumberFormat="1" applyFont="1" applyFill="1" applyBorder="1" applyAlignment="1" applyProtection="1">
      <alignment vertical="center" wrapText="1" readingOrder="1"/>
      <protection locked="0"/>
    </xf>
    <xf numFmtId="49" fontId="14" fillId="0" borderId="5" xfId="0" applyNumberFormat="1" applyFont="1" applyBorder="1" applyAlignment="1" applyProtection="1">
      <alignment vertical="center" wrapText="1" readingOrder="1"/>
      <protection locked="0"/>
    </xf>
    <xf numFmtId="3" fontId="1" fillId="3" borderId="16" xfId="0" applyNumberFormat="1" applyFont="1" applyFill="1" applyBorder="1" applyAlignment="1">
      <alignment vertical="center" wrapText="1" shrinkToFit="1"/>
    </xf>
    <xf numFmtId="0" fontId="22" fillId="6" borderId="15" xfId="0" applyFont="1" applyFill="1" applyBorder="1" applyAlignment="1">
      <alignment horizontal="center" vertical="center"/>
    </xf>
    <xf numFmtId="49" fontId="23" fillId="0" borderId="3" xfId="2" applyNumberFormat="1" applyFont="1" applyBorder="1" applyAlignment="1">
      <alignment horizontal="right"/>
      <protection locked="0"/>
    </xf>
    <xf numFmtId="49" fontId="23" fillId="0" borderId="11" xfId="1" applyNumberFormat="1" applyFont="1" applyBorder="1" applyAlignment="1">
      <alignment horizontal="right"/>
      <protection locked="0"/>
    </xf>
    <xf numFmtId="1" fontId="6" fillId="13" borderId="41" xfId="2" applyNumberFormat="1" applyFont="1" applyFill="1" applyBorder="1" applyAlignment="1">
      <alignment horizontal="center" vertical="center"/>
      <protection locked="0"/>
    </xf>
    <xf numFmtId="3" fontId="7" fillId="0" borderId="0" xfId="1" applyNumberFormat="1" applyFont="1" applyFill="1" applyBorder="1" applyAlignment="1">
      <protection locked="0"/>
    </xf>
    <xf numFmtId="3" fontId="1" fillId="3" borderId="24" xfId="0" applyNumberFormat="1" applyFont="1" applyFill="1" applyBorder="1" applyAlignment="1">
      <alignment vertical="center" wrapText="1" shrinkToFit="1"/>
    </xf>
    <xf numFmtId="49" fontId="20" fillId="3" borderId="2" xfId="0" applyNumberFormat="1" applyFont="1" applyFill="1" applyBorder="1" applyAlignment="1">
      <alignment vertical="center" wrapText="1" shrinkToFit="1"/>
    </xf>
    <xf numFmtId="0" fontId="4" fillId="2" borderId="19" xfId="0" applyFont="1" applyFill="1" applyBorder="1" applyAlignment="1">
      <alignment horizontal="center" vertical="center" wrapText="1" shrinkToFit="1"/>
    </xf>
    <xf numFmtId="3" fontId="20" fillId="3" borderId="15" xfId="0" applyNumberFormat="1" applyFont="1" applyFill="1" applyBorder="1" applyAlignment="1">
      <alignment vertical="center" wrapText="1" shrinkToFit="1"/>
    </xf>
    <xf numFmtId="3" fontId="7" fillId="0" borderId="0" xfId="1" applyNumberFormat="1" applyFont="1" applyFill="1" applyBorder="1">
      <protection locked="0"/>
    </xf>
    <xf numFmtId="3" fontId="6" fillId="0" borderId="0" xfId="1" applyNumberFormat="1" applyFont="1" applyFill="1" applyBorder="1" applyAlignment="1">
      <alignment horizontal="right"/>
      <protection locked="0"/>
    </xf>
    <xf numFmtId="0" fontId="25" fillId="0" borderId="0" xfId="0" applyFont="1"/>
    <xf numFmtId="3" fontId="26" fillId="0" borderId="0" xfId="1" applyNumberFormat="1" applyFont="1" applyFill="1" applyBorder="1">
      <protection locked="0"/>
    </xf>
    <xf numFmtId="3" fontId="25" fillId="0" borderId="0" xfId="0" applyNumberFormat="1" applyFont="1"/>
    <xf numFmtId="0" fontId="13" fillId="0" borderId="0" xfId="0" applyFont="1" applyAlignment="1" applyProtection="1">
      <alignment horizontal="center" vertical="center" wrapText="1" readingOrder="1"/>
      <protection locked="0"/>
    </xf>
    <xf numFmtId="0" fontId="14" fillId="0" borderId="31" xfId="0" applyFont="1" applyBorder="1" applyAlignment="1" applyProtection="1">
      <alignment vertical="center" wrapText="1" readingOrder="1"/>
      <protection locked="0"/>
    </xf>
    <xf numFmtId="0" fontId="14" fillId="0" borderId="34" xfId="0" applyFont="1" applyBorder="1" applyAlignment="1" applyProtection="1">
      <alignment vertical="center" wrapText="1" readingOrder="1"/>
      <protection locked="0"/>
    </xf>
    <xf numFmtId="0" fontId="14" fillId="0" borderId="42" xfId="0" applyFont="1" applyBorder="1" applyAlignment="1" applyProtection="1">
      <alignment vertical="center" wrapText="1" readingOrder="1"/>
      <protection locked="0"/>
    </xf>
    <xf numFmtId="3" fontId="14" fillId="0" borderId="16" xfId="0" applyNumberFormat="1" applyFont="1" applyBorder="1" applyAlignment="1" applyProtection="1">
      <alignment vertical="center" wrapText="1" readingOrder="1"/>
      <protection locked="0"/>
    </xf>
    <xf numFmtId="49" fontId="14" fillId="0" borderId="11" xfId="0" applyNumberFormat="1" applyFont="1" applyBorder="1" applyAlignment="1" applyProtection="1">
      <alignment vertical="center" wrapText="1" readingOrder="1"/>
      <protection locked="0"/>
    </xf>
    <xf numFmtId="3" fontId="5" fillId="4" borderId="7" xfId="0" applyNumberFormat="1" applyFont="1" applyFill="1" applyBorder="1" applyAlignment="1">
      <alignment horizontal="center"/>
    </xf>
    <xf numFmtId="3" fontId="1" fillId="3" borderId="4" xfId="0" applyNumberFormat="1" applyFont="1" applyFill="1" applyBorder="1" applyAlignment="1">
      <alignment horizontal="center" vertical="center" wrapText="1" shrinkToFit="1"/>
    </xf>
    <xf numFmtId="3" fontId="14" fillId="0" borderId="4" xfId="0" applyNumberFormat="1" applyFont="1" applyBorder="1" applyAlignment="1" applyProtection="1">
      <alignment horizontal="center" vertical="center" wrapText="1" readingOrder="1"/>
      <protection locked="0"/>
    </xf>
    <xf numFmtId="3" fontId="10" fillId="11" borderId="7" xfId="0" applyNumberFormat="1" applyFont="1" applyFill="1" applyBorder="1" applyAlignment="1">
      <alignment horizontal="center" vertical="center" wrapText="1" shrinkToFit="1"/>
    </xf>
    <xf numFmtId="49" fontId="1" fillId="0" borderId="4" xfId="0" applyNumberFormat="1" applyFont="1" applyBorder="1" applyAlignment="1">
      <alignment horizontal="left" vertical="center" wrapText="1" shrinkToFit="1"/>
    </xf>
    <xf numFmtId="3" fontId="1" fillId="0" borderId="16" xfId="0" applyNumberFormat="1" applyFont="1" applyBorder="1" applyAlignment="1">
      <alignment horizontal="right" vertical="center" wrapText="1" shrinkToFit="1"/>
    </xf>
    <xf numFmtId="3" fontId="1" fillId="0" borderId="4" xfId="0" applyNumberFormat="1" applyFont="1" applyBorder="1" applyAlignment="1">
      <alignment horizontal="center" vertical="center" wrapText="1" shrinkToFit="1"/>
    </xf>
    <xf numFmtId="49" fontId="1" fillId="0" borderId="2" xfId="0" applyNumberFormat="1" applyFont="1" applyBorder="1" applyAlignment="1">
      <alignment horizontal="left" vertical="center" wrapText="1" shrinkToFit="1"/>
    </xf>
    <xf numFmtId="3" fontId="1" fillId="0" borderId="15" xfId="0" applyNumberFormat="1" applyFont="1" applyBorder="1" applyAlignment="1">
      <alignment horizontal="right" vertical="center" wrapText="1" shrinkToFit="1"/>
    </xf>
    <xf numFmtId="49" fontId="1" fillId="0" borderId="6" xfId="0" applyNumberFormat="1" applyFont="1" applyBorder="1" applyAlignment="1">
      <alignment horizontal="left" vertical="center" wrapText="1" shrinkToFit="1"/>
    </xf>
    <xf numFmtId="3" fontId="1" fillId="0" borderId="30" xfId="0" applyNumberFormat="1" applyFont="1" applyBorder="1" applyAlignment="1">
      <alignment horizontal="right" vertical="center" wrapText="1" shrinkToFit="1"/>
    </xf>
    <xf numFmtId="0" fontId="27" fillId="0" borderId="0" xfId="0" applyFont="1"/>
    <xf numFmtId="166" fontId="27" fillId="0" borderId="0" xfId="1" applyNumberFormat="1" applyFont="1" applyFill="1">
      <protection locked="0"/>
    </xf>
    <xf numFmtId="0" fontId="19" fillId="0" borderId="0" xfId="0" applyFont="1"/>
    <xf numFmtId="49" fontId="1" fillId="0" borderId="9" xfId="0" applyNumberFormat="1" applyFont="1" applyBorder="1" applyAlignment="1">
      <alignment horizontal="left" vertical="center" wrapText="1" shrinkToFit="1"/>
    </xf>
    <xf numFmtId="49" fontId="14" fillId="0" borderId="34" xfId="0" applyNumberFormat="1" applyFont="1" applyBorder="1" applyAlignment="1" applyProtection="1">
      <alignment vertical="center" wrapText="1" readingOrder="1"/>
      <protection locked="0"/>
    </xf>
    <xf numFmtId="49" fontId="0" fillId="0" borderId="0" xfId="0" applyNumberFormat="1"/>
    <xf numFmtId="3" fontId="14" fillId="0" borderId="11" xfId="0" applyNumberFormat="1" applyFont="1" applyBorder="1" applyAlignment="1" applyProtection="1">
      <alignment horizontal="right" vertical="center" wrapText="1" readingOrder="1"/>
      <protection locked="0"/>
    </xf>
    <xf numFmtId="49" fontId="14" fillId="0" borderId="42" xfId="0" applyNumberFormat="1" applyFont="1" applyBorder="1" applyAlignment="1" applyProtection="1">
      <alignment vertical="center" wrapText="1" readingOrder="1"/>
      <protection locked="0"/>
    </xf>
    <xf numFmtId="3" fontId="13" fillId="14" borderId="14" xfId="0" applyNumberFormat="1" applyFont="1" applyFill="1" applyBorder="1" applyAlignment="1" applyProtection="1">
      <alignment vertical="center" wrapText="1" readingOrder="1"/>
      <protection locked="0"/>
    </xf>
    <xf numFmtId="3" fontId="13" fillId="14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14" borderId="8" xfId="0" applyNumberFormat="1" applyFont="1" applyFill="1" applyBorder="1" applyAlignment="1" applyProtection="1">
      <alignment vertical="center" wrapText="1" readingOrder="1"/>
      <protection locked="0"/>
    </xf>
    <xf numFmtId="3" fontId="14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16" fillId="0" borderId="0" xfId="0" applyFont="1"/>
    <xf numFmtId="3" fontId="13" fillId="14" borderId="7" xfId="0" applyNumberFormat="1" applyFont="1" applyFill="1" applyBorder="1" applyAlignment="1" applyProtection="1">
      <alignment vertical="center" wrapText="1" readingOrder="1"/>
      <protection locked="0"/>
    </xf>
    <xf numFmtId="0" fontId="14" fillId="0" borderId="9" xfId="0" applyFont="1" applyBorder="1" applyAlignment="1" applyProtection="1">
      <alignment vertical="center" wrapText="1" readingOrder="1"/>
      <protection locked="0"/>
    </xf>
    <xf numFmtId="3" fontId="14" fillId="0" borderId="4" xfId="0" applyNumberFormat="1" applyFont="1" applyBorder="1" applyAlignment="1" applyProtection="1">
      <alignment vertical="center" wrapText="1" readingOrder="1"/>
      <protection locked="0"/>
    </xf>
    <xf numFmtId="49" fontId="14" fillId="0" borderId="9" xfId="0" applyNumberFormat="1" applyFont="1" applyBorder="1" applyAlignment="1" applyProtection="1">
      <alignment vertical="center" wrapText="1" readingOrder="1"/>
      <protection locked="0"/>
    </xf>
    <xf numFmtId="3" fontId="14" fillId="0" borderId="10" xfId="0" applyNumberFormat="1" applyFont="1" applyBorder="1" applyAlignment="1" applyProtection="1">
      <alignment vertical="center" wrapText="1" readingOrder="1"/>
      <protection locked="0"/>
    </xf>
    <xf numFmtId="3" fontId="14" fillId="0" borderId="10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6" xfId="0" applyNumberFormat="1" applyFont="1" applyBorder="1" applyAlignment="1" applyProtection="1">
      <alignment horizontal="center" vertical="center" wrapText="1" readingOrder="1"/>
      <protection locked="0"/>
    </xf>
    <xf numFmtId="3" fontId="1" fillId="0" borderId="2" xfId="0" applyNumberFormat="1" applyFont="1" applyBorder="1" applyAlignment="1">
      <alignment horizontal="center" vertical="center" wrapText="1" shrinkToFit="1"/>
    </xf>
    <xf numFmtId="49" fontId="1" fillId="0" borderId="29" xfId="0" applyNumberFormat="1" applyFont="1" applyBorder="1" applyAlignment="1">
      <alignment horizontal="left" vertical="center" wrapText="1" shrinkToFit="1"/>
    </xf>
    <xf numFmtId="49" fontId="1" fillId="3" borderId="30" xfId="0" applyNumberFormat="1" applyFont="1" applyFill="1" applyBorder="1" applyAlignment="1">
      <alignment horizontal="left" vertical="center" wrapText="1" shrinkToFit="1"/>
    </xf>
    <xf numFmtId="3" fontId="1" fillId="3" borderId="16" xfId="0" applyNumberFormat="1" applyFont="1" applyFill="1" applyBorder="1" applyAlignment="1">
      <alignment horizontal="right" vertical="center" wrapText="1" shrinkToFit="1"/>
    </xf>
    <xf numFmtId="49" fontId="1" fillId="3" borderId="29" xfId="0" applyNumberFormat="1" applyFont="1" applyFill="1" applyBorder="1" applyAlignment="1">
      <alignment horizontal="left" vertical="center" wrapText="1" shrinkToFit="1"/>
    </xf>
    <xf numFmtId="3" fontId="1" fillId="3" borderId="2" xfId="0" applyNumberFormat="1" applyFont="1" applyFill="1" applyBorder="1" applyAlignment="1">
      <alignment horizontal="center" vertical="center" wrapText="1" shrinkToFit="1"/>
    </xf>
    <xf numFmtId="49" fontId="1" fillId="0" borderId="3" xfId="0" applyNumberFormat="1" applyFont="1" applyBorder="1" applyAlignment="1">
      <alignment vertical="center" wrapText="1" shrinkToFit="1"/>
    </xf>
    <xf numFmtId="49" fontId="1" fillId="0" borderId="11" xfId="0" applyNumberFormat="1" applyFont="1" applyBorder="1" applyAlignment="1">
      <alignment vertical="center" wrapText="1" shrinkToFit="1"/>
    </xf>
    <xf numFmtId="49" fontId="1" fillId="0" borderId="5" xfId="0" applyNumberFormat="1" applyFont="1" applyBorder="1" applyAlignment="1">
      <alignment vertical="center" wrapText="1" shrinkToFit="1"/>
    </xf>
    <xf numFmtId="0" fontId="1" fillId="0" borderId="10" xfId="0" applyFont="1" applyBorder="1" applyAlignment="1">
      <alignment horizontal="left" vertical="center" wrapText="1" shrinkToFit="1"/>
    </xf>
    <xf numFmtId="3" fontId="1" fillId="0" borderId="10" xfId="0" applyNumberFormat="1" applyFont="1" applyBorder="1" applyAlignment="1">
      <alignment horizontal="right" vertical="center" wrapText="1" shrinkToFit="1"/>
    </xf>
    <xf numFmtId="3" fontId="1" fillId="0" borderId="17" xfId="0" applyNumberFormat="1" applyFont="1" applyBorder="1" applyAlignment="1">
      <alignment horizontal="right" vertical="center" wrapText="1" shrinkToFit="1"/>
    </xf>
    <xf numFmtId="3" fontId="1" fillId="3" borderId="4" xfId="0" applyNumberFormat="1" applyFont="1" applyFill="1" applyBorder="1" applyAlignment="1">
      <alignment horizontal="right" vertical="center" wrapText="1" shrinkToFit="1"/>
    </xf>
    <xf numFmtId="49" fontId="1" fillId="0" borderId="3" xfId="0" applyNumberFormat="1" applyFont="1" applyBorder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 shrinkToFit="1"/>
    </xf>
    <xf numFmtId="3" fontId="1" fillId="0" borderId="4" xfId="0" applyNumberFormat="1" applyFont="1" applyBorder="1" applyAlignment="1">
      <alignment horizontal="right" vertical="center" wrapText="1" shrinkToFit="1"/>
    </xf>
    <xf numFmtId="0" fontId="6" fillId="0" borderId="0" xfId="0" applyFont="1" applyAlignment="1">
      <alignment horizontal="center"/>
    </xf>
    <xf numFmtId="3" fontId="8" fillId="0" borderId="0" xfId="0" applyNumberFormat="1" applyFont="1"/>
    <xf numFmtId="3" fontId="5" fillId="0" borderId="0" xfId="0" applyNumberFormat="1" applyFont="1" applyAlignment="1">
      <alignment horizontal="center"/>
    </xf>
    <xf numFmtId="3" fontId="8" fillId="4" borderId="8" xfId="0" applyNumberFormat="1" applyFont="1" applyFill="1" applyBorder="1" applyAlignment="1">
      <alignment horizontal="center"/>
    </xf>
    <xf numFmtId="49" fontId="1" fillId="0" borderId="10" xfId="0" applyNumberFormat="1" applyFont="1" applyBorder="1" applyAlignment="1">
      <alignment horizontal="left" vertical="center" wrapText="1" shrinkToFit="1"/>
    </xf>
    <xf numFmtId="3" fontId="1" fillId="0" borderId="45" xfId="0" applyNumberFormat="1" applyFont="1" applyBorder="1" applyAlignment="1">
      <alignment horizontal="right" vertical="center" wrapText="1" shrinkToFit="1"/>
    </xf>
    <xf numFmtId="49" fontId="11" fillId="0" borderId="14" xfId="0" applyNumberFormat="1" applyFont="1" applyBorder="1" applyAlignment="1">
      <alignment horizontal="right"/>
    </xf>
    <xf numFmtId="49" fontId="24" fillId="0" borderId="14" xfId="1" applyNumberFormat="1" applyFont="1" applyBorder="1" applyAlignment="1">
      <alignment horizontal="center"/>
      <protection locked="0"/>
    </xf>
    <xf numFmtId="3" fontId="6" fillId="0" borderId="7" xfId="0" applyNumberFormat="1" applyFont="1" applyBorder="1" applyAlignment="1">
      <alignment horizontal="right"/>
    </xf>
    <xf numFmtId="0" fontId="4" fillId="2" borderId="37" xfId="0" applyFont="1" applyFill="1" applyBorder="1" applyAlignment="1">
      <alignment horizontal="center" vertical="center" wrapText="1" shrinkToFit="1"/>
    </xf>
    <xf numFmtId="0" fontId="6" fillId="4" borderId="38" xfId="0" applyFont="1" applyFill="1" applyBorder="1" applyAlignment="1">
      <alignment horizontal="right"/>
    </xf>
    <xf numFmtId="3" fontId="20" fillId="3" borderId="2" xfId="0" applyNumberFormat="1" applyFont="1" applyFill="1" applyBorder="1" applyAlignment="1">
      <alignment horizontal="right" vertical="center" wrapText="1" shrinkToFit="1"/>
    </xf>
    <xf numFmtId="3" fontId="22" fillId="4" borderId="38" xfId="0" applyNumberFormat="1" applyFont="1" applyFill="1" applyBorder="1" applyAlignment="1">
      <alignment horizontal="right"/>
    </xf>
    <xf numFmtId="3" fontId="10" fillId="11" borderId="38" xfId="0" applyNumberFormat="1" applyFont="1" applyFill="1" applyBorder="1" applyAlignment="1">
      <alignment horizontal="right" vertical="center" wrapText="1" shrinkToFit="1"/>
    </xf>
    <xf numFmtId="3" fontId="5" fillId="10" borderId="7" xfId="0" applyNumberFormat="1" applyFont="1" applyFill="1" applyBorder="1" applyAlignment="1">
      <alignment horizontal="right" wrapText="1" shrinkToFit="1"/>
    </xf>
    <xf numFmtId="0" fontId="14" fillId="0" borderId="47" xfId="0" applyFont="1" applyBorder="1" applyAlignment="1" applyProtection="1">
      <alignment vertical="center" wrapText="1" readingOrder="1"/>
      <protection locked="0"/>
    </xf>
    <xf numFmtId="0" fontId="13" fillId="12" borderId="6" xfId="0" applyFont="1" applyFill="1" applyBorder="1" applyAlignment="1" applyProtection="1">
      <alignment horizontal="center" vertical="center" wrapText="1" readingOrder="1"/>
      <protection locked="0"/>
    </xf>
    <xf numFmtId="0" fontId="13" fillId="12" borderId="20" xfId="0" applyFont="1" applyFill="1" applyBorder="1" applyAlignment="1" applyProtection="1">
      <alignment horizontal="center" vertical="center" wrapText="1" readingOrder="1"/>
      <protection locked="0"/>
    </xf>
    <xf numFmtId="0" fontId="13" fillId="12" borderId="17" xfId="0" applyFont="1" applyFill="1" applyBorder="1" applyAlignment="1" applyProtection="1">
      <alignment horizontal="center" vertical="center" wrapText="1" readingOrder="1"/>
      <protection locked="0"/>
    </xf>
    <xf numFmtId="0" fontId="13" fillId="12" borderId="5" xfId="0" applyFont="1" applyFill="1" applyBorder="1" applyAlignment="1" applyProtection="1">
      <alignment horizontal="center" vertical="center" wrapText="1" readingOrder="1"/>
      <protection locked="0"/>
    </xf>
    <xf numFmtId="3" fontId="14" fillId="0" borderId="40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48" xfId="0" applyNumberFormat="1" applyFont="1" applyBorder="1" applyAlignment="1" applyProtection="1">
      <alignment vertical="center" wrapText="1" readingOrder="1"/>
      <protection locked="0"/>
    </xf>
    <xf numFmtId="3" fontId="14" fillId="0" borderId="17" xfId="0" applyNumberFormat="1" applyFont="1" applyBorder="1" applyAlignment="1" applyProtection="1">
      <alignment vertical="center" wrapText="1" readingOrder="1"/>
      <protection locked="0"/>
    </xf>
    <xf numFmtId="3" fontId="14" fillId="0" borderId="50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9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5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3" xfId="0" applyNumberFormat="1" applyFont="1" applyBorder="1" applyAlignment="1" applyProtection="1">
      <alignment horizontal="right" vertical="center" wrapText="1" readingOrder="1"/>
      <protection locked="0"/>
    </xf>
    <xf numFmtId="3" fontId="0" fillId="0" borderId="32" xfId="0" applyNumberFormat="1" applyBorder="1" applyAlignment="1">
      <alignment horizontal="right"/>
    </xf>
    <xf numFmtId="3" fontId="6" fillId="13" borderId="39" xfId="0" applyNumberFormat="1" applyFont="1" applyFill="1" applyBorder="1" applyAlignment="1">
      <alignment horizontal="right"/>
    </xf>
    <xf numFmtId="0" fontId="4" fillId="9" borderId="1" xfId="0" applyFont="1" applyFill="1" applyBorder="1" applyAlignment="1">
      <alignment horizontal="center" vertical="center" wrapText="1" shrinkToFit="1"/>
    </xf>
    <xf numFmtId="49" fontId="14" fillId="0" borderId="18" xfId="0" applyNumberFormat="1" applyFont="1" applyBorder="1" applyAlignment="1" applyProtection="1">
      <alignment vertical="center" wrapText="1" readingOrder="1"/>
      <protection locked="0"/>
    </xf>
    <xf numFmtId="49" fontId="14" fillId="0" borderId="22" xfId="0" applyNumberFormat="1" applyFont="1" applyBorder="1" applyAlignment="1" applyProtection="1">
      <alignment vertical="center" wrapText="1" readingOrder="1"/>
      <protection locked="0"/>
    </xf>
    <xf numFmtId="3" fontId="13" fillId="0" borderId="15" xfId="0" applyNumberFormat="1" applyFont="1" applyBorder="1" applyAlignment="1" applyProtection="1">
      <alignment vertical="center" wrapText="1" readingOrder="1"/>
      <protection locked="0"/>
    </xf>
    <xf numFmtId="3" fontId="13" fillId="0" borderId="17" xfId="0" applyNumberFormat="1" applyFont="1" applyBorder="1" applyAlignment="1" applyProtection="1">
      <alignment vertical="center" wrapText="1" readingOrder="1"/>
      <protection locked="0"/>
    </xf>
    <xf numFmtId="0" fontId="14" fillId="0" borderId="36" xfId="0" applyFont="1" applyBorder="1" applyAlignment="1" applyProtection="1">
      <alignment vertical="center" wrapText="1" readingOrder="1"/>
      <protection locked="0"/>
    </xf>
    <xf numFmtId="0" fontId="14" fillId="0" borderId="54" xfId="0" applyFont="1" applyBorder="1" applyAlignment="1" applyProtection="1">
      <alignment vertical="center" wrapText="1" readingOrder="1"/>
      <protection locked="0"/>
    </xf>
    <xf numFmtId="0" fontId="14" fillId="0" borderId="15" xfId="0" applyFont="1" applyBorder="1" applyAlignment="1" applyProtection="1">
      <alignment vertical="center" wrapText="1" readingOrder="1"/>
      <protection locked="0"/>
    </xf>
    <xf numFmtId="0" fontId="14" fillId="0" borderId="43" xfId="0" applyFont="1" applyBorder="1" applyAlignment="1" applyProtection="1">
      <alignment vertical="center" wrapText="1" readingOrder="1"/>
      <protection locked="0"/>
    </xf>
    <xf numFmtId="0" fontId="14" fillId="0" borderId="19" xfId="0" applyFont="1" applyBorder="1" applyAlignment="1" applyProtection="1">
      <alignment vertical="center" wrapText="1" readingOrder="1"/>
      <protection locked="0"/>
    </xf>
    <xf numFmtId="3" fontId="14" fillId="0" borderId="51" xfId="0" applyNumberFormat="1" applyFont="1" applyBorder="1" applyAlignment="1" applyProtection="1">
      <alignment horizontal="center" vertical="center" wrapText="1" readingOrder="1"/>
      <protection locked="0"/>
    </xf>
    <xf numFmtId="3" fontId="13" fillId="0" borderId="55" xfId="0" applyNumberFormat="1" applyFont="1" applyBorder="1" applyAlignment="1" applyProtection="1">
      <alignment vertical="center" wrapText="1" readingOrder="1"/>
      <protection locked="0"/>
    </xf>
    <xf numFmtId="167" fontId="14" fillId="0" borderId="10" xfId="0" applyNumberFormat="1" applyFont="1" applyBorder="1" applyAlignment="1" applyProtection="1">
      <alignment vertical="center" wrapText="1" readingOrder="1"/>
      <protection locked="0"/>
    </xf>
    <xf numFmtId="3" fontId="14" fillId="0" borderId="12" xfId="0" applyNumberFormat="1" applyFont="1" applyBorder="1" applyAlignment="1" applyProtection="1">
      <alignment horizontal="center" vertical="center" wrapText="1" readingOrder="1"/>
      <protection locked="0"/>
    </xf>
    <xf numFmtId="3" fontId="5" fillId="0" borderId="0" xfId="0" applyNumberFormat="1" applyFont="1"/>
    <xf numFmtId="3" fontId="14" fillId="0" borderId="47" xfId="0" applyNumberFormat="1" applyFont="1" applyBorder="1" applyAlignment="1" applyProtection="1">
      <alignment horizontal="center" vertical="center" wrapText="1" readingOrder="1"/>
      <protection locked="0"/>
    </xf>
    <xf numFmtId="0" fontId="14" fillId="0" borderId="46" xfId="0" applyFont="1" applyBorder="1" applyAlignment="1" applyProtection="1">
      <alignment vertical="center" wrapText="1" readingOrder="1"/>
      <protection locked="0"/>
    </xf>
    <xf numFmtId="49" fontId="14" fillId="0" borderId="0" xfId="0" applyNumberFormat="1" applyFont="1" applyAlignment="1" applyProtection="1">
      <alignment horizontal="center" vertical="center" wrapText="1" readingOrder="1"/>
      <protection locked="0"/>
    </xf>
    <xf numFmtId="3" fontId="14" fillId="0" borderId="58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30" xfId="0" applyNumberFormat="1" applyFont="1" applyBorder="1" applyAlignment="1" applyProtection="1">
      <alignment horizontal="center" vertical="center" wrapText="1" readingOrder="1"/>
      <protection locked="0"/>
    </xf>
    <xf numFmtId="3" fontId="13" fillId="0" borderId="24" xfId="0" applyNumberFormat="1" applyFont="1" applyBorder="1" applyAlignment="1" applyProtection="1">
      <alignment vertical="center" wrapText="1" readingOrder="1"/>
      <protection locked="0"/>
    </xf>
    <xf numFmtId="3" fontId="13" fillId="14" borderId="12" xfId="0" applyNumberFormat="1" applyFont="1" applyFill="1" applyBorder="1" applyAlignment="1" applyProtection="1">
      <alignment vertical="center" wrapText="1" readingOrder="1"/>
      <protection locked="0"/>
    </xf>
    <xf numFmtId="3" fontId="13" fillId="14" borderId="12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14" borderId="13" xfId="0" applyNumberFormat="1" applyFont="1" applyFill="1" applyBorder="1" applyAlignment="1" applyProtection="1">
      <alignment vertical="center" wrapText="1" readingOrder="1"/>
      <protection locked="0"/>
    </xf>
    <xf numFmtId="3" fontId="1" fillId="0" borderId="46" xfId="0" applyNumberFormat="1" applyFont="1" applyBorder="1" applyAlignment="1">
      <alignment horizontal="center" vertical="center" wrapText="1" shrinkToFit="1"/>
    </xf>
    <xf numFmtId="3" fontId="10" fillId="11" borderId="38" xfId="0" applyNumberFormat="1" applyFont="1" applyFill="1" applyBorder="1" applyAlignment="1">
      <alignment horizontal="center" vertical="center" wrapText="1" shrinkToFit="1"/>
    </xf>
    <xf numFmtId="0" fontId="14" fillId="0" borderId="10" xfId="0" applyFont="1" applyBorder="1" applyAlignment="1" applyProtection="1">
      <alignment vertical="center" wrapText="1" readingOrder="1"/>
      <protection locked="0"/>
    </xf>
    <xf numFmtId="3" fontId="14" fillId="0" borderId="10" xfId="0" applyNumberFormat="1" applyFont="1" applyBorder="1" applyAlignment="1" applyProtection="1">
      <alignment horizontal="right" vertical="center" wrapText="1" readingOrder="1"/>
      <protection locked="0"/>
    </xf>
    <xf numFmtId="0" fontId="14" fillId="0" borderId="1" xfId="0" applyFont="1" applyBorder="1" applyAlignment="1" applyProtection="1">
      <alignment vertical="center" wrapText="1" readingOrder="1"/>
      <protection locked="0"/>
    </xf>
    <xf numFmtId="3" fontId="14" fillId="0" borderId="1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1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19" xfId="0" applyNumberFormat="1" applyFont="1" applyBorder="1" applyAlignment="1" applyProtection="1">
      <alignment vertical="center" wrapText="1" readingOrder="1"/>
      <protection locked="0"/>
    </xf>
    <xf numFmtId="49" fontId="1" fillId="0" borderId="22" xfId="0" applyNumberFormat="1" applyFont="1" applyBorder="1" applyAlignment="1">
      <alignment horizontal="left" vertical="center" wrapText="1" shrinkToFit="1"/>
    </xf>
    <xf numFmtId="49" fontId="1" fillId="0" borderId="23" xfId="0" applyNumberFormat="1" applyFont="1" applyBorder="1" applyAlignment="1">
      <alignment horizontal="left" vertical="center" wrapText="1" shrinkToFit="1"/>
    </xf>
    <xf numFmtId="3" fontId="1" fillId="0" borderId="46" xfId="0" applyNumberFormat="1" applyFont="1" applyBorder="1" applyAlignment="1">
      <alignment horizontal="right" vertical="center" wrapText="1" shrinkToFit="1"/>
    </xf>
    <xf numFmtId="3" fontId="1" fillId="0" borderId="24" xfId="0" applyNumberFormat="1" applyFont="1" applyBorder="1" applyAlignment="1">
      <alignment horizontal="right" vertical="center" wrapText="1" shrinkToFit="1"/>
    </xf>
    <xf numFmtId="3" fontId="1" fillId="0" borderId="45" xfId="0" applyNumberFormat="1" applyFont="1" applyBorder="1" applyAlignment="1">
      <alignment horizontal="center" vertical="center" wrapText="1" shrinkToFit="1"/>
    </xf>
    <xf numFmtId="3" fontId="14" fillId="0" borderId="30" xfId="0" applyNumberFormat="1" applyFont="1" applyBorder="1" applyAlignment="1" applyProtection="1">
      <alignment vertical="center" wrapText="1" readingOrder="1"/>
      <protection locked="0"/>
    </xf>
    <xf numFmtId="49" fontId="23" fillId="0" borderId="62" xfId="1" applyNumberFormat="1" applyFont="1" applyBorder="1" applyAlignment="1">
      <alignment horizontal="right"/>
      <protection locked="0"/>
    </xf>
    <xf numFmtId="49" fontId="19" fillId="0" borderId="10" xfId="0" applyNumberFormat="1" applyFont="1" applyBorder="1" applyAlignment="1">
      <alignment horizontal="right"/>
    </xf>
    <xf numFmtId="3" fontId="7" fillId="0" borderId="45" xfId="1" applyNumberFormat="1" applyFont="1" applyBorder="1">
      <protection locked="0"/>
    </xf>
    <xf numFmtId="0" fontId="7" fillId="0" borderId="48" xfId="0" applyFont="1" applyBorder="1" applyAlignment="1">
      <alignment horizontal="left"/>
    </xf>
    <xf numFmtId="0" fontId="7" fillId="0" borderId="30" xfId="0" applyFont="1" applyBorder="1"/>
    <xf numFmtId="0" fontId="7" fillId="0" borderId="29" xfId="0" applyFont="1" applyBorder="1"/>
    <xf numFmtId="0" fontId="6" fillId="0" borderId="39" xfId="0" applyFont="1" applyBorder="1"/>
    <xf numFmtId="0" fontId="7" fillId="0" borderId="48" xfId="0" applyFont="1" applyBorder="1"/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3" fontId="19" fillId="0" borderId="0" xfId="0" applyNumberFormat="1" applyFont="1"/>
    <xf numFmtId="3" fontId="14" fillId="0" borderId="29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53" xfId="0" applyNumberFormat="1" applyFont="1" applyBorder="1" applyAlignment="1" applyProtection="1">
      <alignment horizontal="center" vertical="center" wrapText="1" readingOrder="1"/>
      <protection locked="0"/>
    </xf>
    <xf numFmtId="9" fontId="14" fillId="0" borderId="29" xfId="0" applyNumberFormat="1" applyFont="1" applyBorder="1" applyAlignment="1" applyProtection="1">
      <alignment vertical="center" wrapText="1" readingOrder="1"/>
      <protection locked="0"/>
    </xf>
    <xf numFmtId="9" fontId="14" fillId="0" borderId="47" xfId="0" applyNumberFormat="1" applyFont="1" applyBorder="1" applyAlignment="1" applyProtection="1">
      <alignment horizontal="right" vertical="center" wrapText="1" readingOrder="1"/>
      <protection locked="0"/>
    </xf>
    <xf numFmtId="9" fontId="14" fillId="0" borderId="29" xfId="0" applyNumberFormat="1" applyFont="1" applyBorder="1" applyAlignment="1" applyProtection="1">
      <alignment horizontal="right" vertical="center" wrapText="1" readingOrder="1"/>
      <protection locked="0"/>
    </xf>
    <xf numFmtId="0" fontId="16" fillId="0" borderId="0" xfId="0" applyFont="1" applyAlignment="1">
      <alignment horizontal="right"/>
    </xf>
    <xf numFmtId="167" fontId="14" fillId="0" borderId="4" xfId="0" applyNumberFormat="1" applyFont="1" applyBorder="1" applyAlignment="1" applyProtection="1">
      <alignment vertical="center" wrapText="1" readingOrder="1"/>
      <protection locked="0"/>
    </xf>
    <xf numFmtId="1" fontId="6" fillId="13" borderId="41" xfId="2" applyNumberFormat="1" applyFont="1" applyFill="1" applyBorder="1" applyAlignment="1">
      <alignment horizontal="center" vertical="center" wrapText="1"/>
      <protection locked="0"/>
    </xf>
    <xf numFmtId="49" fontId="23" fillId="0" borderId="18" xfId="1" applyNumberFormat="1" applyFont="1" applyBorder="1" applyAlignment="1">
      <alignment horizontal="right"/>
      <protection locked="0"/>
    </xf>
    <xf numFmtId="3" fontId="7" fillId="0" borderId="64" xfId="1" applyNumberFormat="1" applyFont="1" applyBorder="1" applyAlignment="1">
      <alignment horizontal="right"/>
      <protection locked="0"/>
    </xf>
    <xf numFmtId="3" fontId="7" fillId="0" borderId="54" xfId="1" applyNumberFormat="1" applyFont="1" applyBorder="1" applyAlignment="1">
      <alignment horizontal="right"/>
      <protection locked="0"/>
    </xf>
    <xf numFmtId="3" fontId="7" fillId="0" borderId="63" xfId="0" applyNumberFormat="1" applyFont="1" applyBorder="1"/>
    <xf numFmtId="3" fontId="7" fillId="0" borderId="51" xfId="0" applyNumberFormat="1" applyFont="1" applyBorder="1"/>
    <xf numFmtId="3" fontId="7" fillId="0" borderId="4" xfId="0" applyNumberFormat="1" applyFont="1" applyBorder="1"/>
    <xf numFmtId="3" fontId="7" fillId="0" borderId="2" xfId="0" applyNumberFormat="1" applyFont="1" applyBorder="1"/>
    <xf numFmtId="3" fontId="7" fillId="0" borderId="1" xfId="0" applyNumberFormat="1" applyFont="1" applyBorder="1"/>
    <xf numFmtId="1" fontId="6" fillId="12" borderId="52" xfId="2" applyNumberFormat="1" applyFont="1" applyFill="1" applyBorder="1" applyAlignment="1">
      <alignment horizontal="center" vertical="center" wrapText="1"/>
      <protection locked="0"/>
    </xf>
    <xf numFmtId="1" fontId="6" fillId="12" borderId="1" xfId="2" applyNumberFormat="1" applyFont="1" applyFill="1" applyBorder="1" applyAlignment="1">
      <alignment horizontal="center" vertical="center"/>
      <protection locked="0"/>
    </xf>
    <xf numFmtId="1" fontId="6" fillId="12" borderId="52" xfId="2" applyNumberFormat="1" applyFont="1" applyFill="1" applyBorder="1" applyAlignment="1">
      <alignment horizontal="center" vertical="center"/>
      <protection locked="0"/>
    </xf>
    <xf numFmtId="1" fontId="6" fillId="12" borderId="19" xfId="2" applyNumberFormat="1" applyFont="1" applyFill="1" applyBorder="1" applyAlignment="1">
      <alignment horizontal="center" vertical="center"/>
      <protection locked="0"/>
    </xf>
    <xf numFmtId="3" fontId="13" fillId="14" borderId="39" xfId="0" applyNumberFormat="1" applyFont="1" applyFill="1" applyBorder="1" applyAlignment="1" applyProtection="1">
      <alignment vertical="center" wrapText="1" readingOrder="1"/>
      <protection locked="0"/>
    </xf>
    <xf numFmtId="3" fontId="13" fillId="12" borderId="28" xfId="0" applyNumberFormat="1" applyFont="1" applyFill="1" applyBorder="1" applyAlignment="1" applyProtection="1">
      <alignment vertical="center" wrapText="1" readingOrder="1"/>
      <protection locked="0"/>
    </xf>
    <xf numFmtId="3" fontId="14" fillId="0" borderId="0" xfId="0" applyNumberFormat="1" applyFont="1" applyAlignment="1" applyProtection="1">
      <alignment horizontal="center" vertical="center" wrapText="1" readingOrder="1"/>
      <protection locked="0"/>
    </xf>
    <xf numFmtId="3" fontId="14" fillId="0" borderId="44" xfId="0" applyNumberFormat="1" applyFont="1" applyBorder="1" applyAlignment="1" applyProtection="1">
      <alignment horizontal="center" vertical="center" wrapText="1" readingOrder="1"/>
      <protection locked="0"/>
    </xf>
    <xf numFmtId="49" fontId="14" fillId="0" borderId="32" xfId="0" applyNumberFormat="1" applyFont="1" applyBorder="1" applyAlignment="1" applyProtection="1">
      <alignment vertical="center" wrapText="1" readingOrder="1"/>
      <protection locked="0"/>
    </xf>
    <xf numFmtId="3" fontId="14" fillId="0" borderId="32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23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24" xfId="0" applyNumberFormat="1" applyFont="1" applyBorder="1" applyAlignment="1" applyProtection="1">
      <alignment vertical="center" wrapText="1" readingOrder="1"/>
      <protection locked="0"/>
    </xf>
    <xf numFmtId="49" fontId="14" fillId="0" borderId="17" xfId="0" applyNumberFormat="1" applyFont="1" applyBorder="1" applyAlignment="1" applyProtection="1">
      <alignment vertical="center" wrapText="1" readingOrder="1"/>
      <protection locked="0"/>
    </xf>
    <xf numFmtId="49" fontId="14" fillId="0" borderId="19" xfId="0" applyNumberFormat="1" applyFont="1" applyBorder="1" applyAlignment="1" applyProtection="1">
      <alignment vertical="center" wrapText="1" readingOrder="1"/>
      <protection locked="0"/>
    </xf>
    <xf numFmtId="0" fontId="13" fillId="12" borderId="16" xfId="0" applyFont="1" applyFill="1" applyBorder="1" applyAlignment="1" applyProtection="1">
      <alignment horizontal="center" vertical="center" wrapText="1" readingOrder="1"/>
      <protection locked="0"/>
    </xf>
    <xf numFmtId="3" fontId="1" fillId="0" borderId="31" xfId="0" applyNumberFormat="1" applyFont="1" applyBorder="1" applyAlignment="1">
      <alignment horizontal="right" vertical="center" wrapText="1" shrinkToFit="1"/>
    </xf>
    <xf numFmtId="49" fontId="14" fillId="0" borderId="45" xfId="0" applyNumberFormat="1" applyFont="1" applyBorder="1" applyAlignment="1" applyProtection="1">
      <alignment vertical="center" wrapText="1" readingOrder="1"/>
      <protection locked="0"/>
    </xf>
    <xf numFmtId="49" fontId="14" fillId="0" borderId="49" xfId="0" applyNumberFormat="1" applyFont="1" applyBorder="1" applyAlignment="1" applyProtection="1">
      <alignment vertical="center" wrapText="1" readingOrder="1"/>
      <protection locked="0"/>
    </xf>
    <xf numFmtId="3" fontId="14" fillId="0" borderId="9" xfId="0" applyNumberFormat="1" applyFont="1" applyBorder="1" applyAlignment="1" applyProtection="1">
      <alignment vertical="center" wrapText="1" readingOrder="1"/>
      <protection locked="0"/>
    </xf>
    <xf numFmtId="3" fontId="14" fillId="0" borderId="5" xfId="0" applyNumberFormat="1" applyFont="1" applyBorder="1" applyAlignment="1" applyProtection="1">
      <alignment vertical="center" wrapText="1" readingOrder="1"/>
      <protection locked="0"/>
    </xf>
    <xf numFmtId="3" fontId="14" fillId="0" borderId="66" xfId="0" applyNumberFormat="1" applyFont="1" applyBorder="1" applyAlignment="1" applyProtection="1">
      <alignment vertical="center" wrapText="1" readingOrder="1"/>
      <protection locked="0"/>
    </xf>
    <xf numFmtId="3" fontId="14" fillId="0" borderId="22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23" xfId="0" applyNumberFormat="1" applyFont="1" applyBorder="1" applyAlignment="1" applyProtection="1">
      <alignment vertical="center" wrapText="1" readingOrder="1"/>
      <protection locked="0"/>
    </xf>
    <xf numFmtId="3" fontId="14" fillId="0" borderId="3" xfId="0" applyNumberFormat="1" applyFont="1" applyBorder="1" applyAlignment="1" applyProtection="1">
      <alignment vertical="center" wrapText="1" readingOrder="1"/>
      <protection locked="0"/>
    </xf>
    <xf numFmtId="3" fontId="14" fillId="0" borderId="0" xfId="0" applyNumberFormat="1" applyFont="1" applyAlignment="1" applyProtection="1">
      <alignment vertical="center" wrapText="1" readingOrder="1"/>
      <protection locked="0"/>
    </xf>
    <xf numFmtId="3" fontId="13" fillId="0" borderId="0" xfId="0" applyNumberFormat="1" applyFont="1" applyAlignment="1" applyProtection="1">
      <alignment vertical="center" wrapText="1" readingOrder="1"/>
      <protection locked="0"/>
    </xf>
    <xf numFmtId="3" fontId="14" fillId="0" borderId="6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23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51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17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20" xfId="0" applyNumberFormat="1" applyFont="1" applyBorder="1" applyAlignment="1" applyProtection="1">
      <alignment horizontal="right" vertical="center" wrapText="1" readingOrder="1"/>
      <protection locked="0"/>
    </xf>
    <xf numFmtId="3" fontId="13" fillId="14" borderId="8" xfId="0" applyNumberFormat="1" applyFont="1" applyFill="1" applyBorder="1" applyAlignment="1" applyProtection="1">
      <alignment horizontal="right" vertical="center" wrapText="1" readingOrder="1"/>
      <protection locked="0"/>
    </xf>
    <xf numFmtId="3" fontId="14" fillId="0" borderId="24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16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55" xfId="0" applyNumberFormat="1" applyFont="1" applyBorder="1" applyAlignment="1" applyProtection="1">
      <alignment horizontal="right" vertical="center" wrapText="1" readingOrder="1"/>
      <protection locked="0"/>
    </xf>
    <xf numFmtId="3" fontId="13" fillId="12" borderId="55" xfId="0" applyNumberFormat="1" applyFont="1" applyFill="1" applyBorder="1" applyAlignment="1" applyProtection="1">
      <alignment horizontal="right" vertical="center" wrapText="1" readingOrder="1"/>
      <protection locked="0"/>
    </xf>
    <xf numFmtId="0" fontId="13" fillId="0" borderId="0" xfId="0" applyFont="1" applyAlignment="1" applyProtection="1">
      <alignment wrapText="1" readingOrder="1"/>
      <protection locked="0"/>
    </xf>
    <xf numFmtId="3" fontId="29" fillId="0" borderId="0" xfId="0" applyNumberFormat="1" applyFont="1"/>
    <xf numFmtId="3" fontId="1" fillId="0" borderId="64" xfId="0" applyNumberFormat="1" applyFont="1" applyBorder="1" applyAlignment="1">
      <alignment horizontal="right" vertical="center" wrapText="1" shrinkToFit="1"/>
    </xf>
    <xf numFmtId="3" fontId="1" fillId="0" borderId="54" xfId="0" applyNumberFormat="1" applyFont="1" applyBorder="1" applyAlignment="1">
      <alignment horizontal="right" vertical="center" wrapText="1" shrinkToFit="1"/>
    </xf>
    <xf numFmtId="3" fontId="1" fillId="0" borderId="2" xfId="0" applyNumberFormat="1" applyFont="1" applyBorder="1" applyAlignment="1">
      <alignment horizontal="right" vertical="center" wrapText="1" shrinkToFit="1"/>
    </xf>
    <xf numFmtId="3" fontId="1" fillId="0" borderId="51" xfId="0" applyNumberFormat="1" applyFont="1" applyBorder="1" applyAlignment="1">
      <alignment horizontal="right" vertical="center" wrapText="1" shrinkToFit="1"/>
    </xf>
    <xf numFmtId="3" fontId="1" fillId="3" borderId="64" xfId="0" applyNumberFormat="1" applyFont="1" applyFill="1" applyBorder="1" applyAlignment="1">
      <alignment horizontal="right" vertical="center" wrapText="1" shrinkToFit="1"/>
    </xf>
    <xf numFmtId="3" fontId="1" fillId="3" borderId="54" xfId="0" applyNumberFormat="1" applyFont="1" applyFill="1" applyBorder="1" applyAlignment="1">
      <alignment horizontal="right" vertical="center" wrapText="1" shrinkToFit="1"/>
    </xf>
    <xf numFmtId="3" fontId="1" fillId="3" borderId="10" xfId="0" applyNumberFormat="1" applyFont="1" applyFill="1" applyBorder="1" applyAlignment="1">
      <alignment horizontal="right" vertical="center" wrapText="1" shrinkToFit="1"/>
    </xf>
    <xf numFmtId="3" fontId="1" fillId="3" borderId="2" xfId="0" applyNumberFormat="1" applyFont="1" applyFill="1" applyBorder="1" applyAlignment="1">
      <alignment horizontal="right" vertical="center" wrapText="1" shrinkToFit="1"/>
    </xf>
    <xf numFmtId="3" fontId="1" fillId="0" borderId="67" xfId="0" applyNumberFormat="1" applyFont="1" applyBorder="1" applyAlignment="1">
      <alignment horizontal="right" vertical="center" wrapText="1" shrinkToFit="1"/>
    </xf>
    <xf numFmtId="3" fontId="1" fillId="0" borderId="1" xfId="0" applyNumberFormat="1" applyFont="1" applyBorder="1" applyAlignment="1">
      <alignment horizontal="right" vertical="center" wrapText="1" shrinkToFit="1"/>
    </xf>
    <xf numFmtId="3" fontId="1" fillId="3" borderId="10" xfId="0" applyNumberFormat="1" applyFont="1" applyFill="1" applyBorder="1" applyAlignment="1">
      <alignment horizontal="center" vertical="center" wrapText="1" shrinkToFit="1"/>
    </xf>
    <xf numFmtId="3" fontId="1" fillId="0" borderId="1" xfId="0" applyNumberFormat="1" applyFont="1" applyBorder="1" applyAlignment="1">
      <alignment horizontal="center" vertical="center" wrapText="1" shrinkToFit="1"/>
    </xf>
    <xf numFmtId="3" fontId="1" fillId="0" borderId="36" xfId="0" applyNumberFormat="1" applyFont="1" applyBorder="1" applyAlignment="1">
      <alignment horizontal="right" vertical="center" wrapText="1" shrinkToFit="1"/>
    </xf>
    <xf numFmtId="3" fontId="10" fillId="11" borderId="28" xfId="0" applyNumberFormat="1" applyFont="1" applyFill="1" applyBorder="1" applyAlignment="1">
      <alignment horizontal="right" vertical="center" wrapText="1" shrinkToFit="1"/>
    </xf>
    <xf numFmtId="3" fontId="8" fillId="4" borderId="7" xfId="0" applyNumberFormat="1" applyFont="1" applyFill="1" applyBorder="1"/>
    <xf numFmtId="3" fontId="5" fillId="4" borderId="39" xfId="0" applyNumberFormat="1" applyFont="1" applyFill="1" applyBorder="1" applyAlignment="1">
      <alignment horizontal="center"/>
    </xf>
    <xf numFmtId="3" fontId="7" fillId="0" borderId="48" xfId="2" applyNumberFormat="1" applyFont="1" applyFill="1" applyBorder="1" applyAlignment="1">
      <alignment horizontal="right" vertical="center"/>
      <protection locked="0"/>
    </xf>
    <xf numFmtId="3" fontId="7" fillId="0" borderId="30" xfId="1" applyNumberFormat="1" applyFont="1" applyBorder="1" applyAlignment="1">
      <alignment horizontal="right"/>
      <protection locked="0"/>
    </xf>
    <xf numFmtId="3" fontId="7" fillId="0" borderId="29" xfId="1" applyNumberFormat="1" applyFont="1" applyBorder="1" applyAlignment="1">
      <alignment horizontal="right"/>
      <protection locked="0"/>
    </xf>
    <xf numFmtId="3" fontId="6" fillId="0" borderId="39" xfId="0" applyNumberFormat="1" applyFont="1" applyBorder="1"/>
    <xf numFmtId="3" fontId="6" fillId="12" borderId="39" xfId="0" applyNumberFormat="1" applyFont="1" applyFill="1" applyBorder="1"/>
    <xf numFmtId="3" fontId="7" fillId="0" borderId="1" xfId="1" applyNumberFormat="1" applyFont="1" applyBorder="1" applyAlignment="1">
      <alignment horizontal="right"/>
      <protection locked="0"/>
    </xf>
    <xf numFmtId="3" fontId="7" fillId="0" borderId="45" xfId="1" applyNumberFormat="1" applyFont="1" applyBorder="1" applyAlignment="1">
      <alignment horizontal="center"/>
      <protection locked="0"/>
    </xf>
    <xf numFmtId="3" fontId="7" fillId="0" borderId="1" xfId="1" applyNumberFormat="1" applyFont="1" applyBorder="1" applyAlignment="1">
      <alignment horizontal="center"/>
      <protection locked="0"/>
    </xf>
    <xf numFmtId="0" fontId="0" fillId="0" borderId="22" xfId="0" applyBorder="1" applyAlignment="1">
      <alignment horizontal="left" vertical="center" wrapText="1" shrinkToFit="1"/>
    </xf>
    <xf numFmtId="3" fontId="1" fillId="0" borderId="10" xfId="0" applyNumberFormat="1" applyFont="1" applyBorder="1" applyAlignment="1">
      <alignment horizontal="center" vertical="center" wrapText="1" shrinkToFit="1"/>
    </xf>
    <xf numFmtId="49" fontId="20" fillId="3" borderId="23" xfId="0" applyNumberFormat="1" applyFont="1" applyFill="1" applyBorder="1" applyAlignment="1">
      <alignment vertical="center" wrapText="1" shrinkToFit="1"/>
    </xf>
    <xf numFmtId="3" fontId="20" fillId="3" borderId="23" xfId="0" applyNumberFormat="1" applyFont="1" applyFill="1" applyBorder="1" applyAlignment="1">
      <alignment horizontal="right" vertical="center" wrapText="1" shrinkToFit="1"/>
    </xf>
    <xf numFmtId="3" fontId="20" fillId="3" borderId="24" xfId="0" applyNumberFormat="1" applyFont="1" applyFill="1" applyBorder="1" applyAlignment="1">
      <alignment vertical="center" wrapText="1" shrinkToFit="1"/>
    </xf>
    <xf numFmtId="9" fontId="0" fillId="0" borderId="0" xfId="0" applyNumberFormat="1"/>
    <xf numFmtId="3" fontId="20" fillId="3" borderId="4" xfId="0" applyNumberFormat="1" applyFont="1" applyFill="1" applyBorder="1" applyAlignment="1">
      <alignment horizontal="right" vertical="center" wrapText="1" shrinkToFit="1"/>
    </xf>
    <xf numFmtId="3" fontId="1" fillId="0" borderId="44" xfId="0" applyNumberFormat="1" applyFont="1" applyBorder="1" applyAlignment="1">
      <alignment horizontal="right" vertical="center" wrapText="1" shrinkToFit="1"/>
    </xf>
    <xf numFmtId="0" fontId="13" fillId="12" borderId="68" xfId="0" applyFont="1" applyFill="1" applyBorder="1" applyAlignment="1" applyProtection="1">
      <alignment horizontal="center" vertical="center" wrapText="1" readingOrder="1"/>
      <protection locked="0"/>
    </xf>
    <xf numFmtId="3" fontId="14" fillId="0" borderId="29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35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0" xfId="0" applyNumberFormat="1" applyFont="1" applyAlignment="1" applyProtection="1">
      <alignment horizontal="right" vertical="center" wrapText="1" readingOrder="1"/>
      <protection locked="0"/>
    </xf>
    <xf numFmtId="3" fontId="14" fillId="0" borderId="30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68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44" xfId="0" applyNumberFormat="1" applyFont="1" applyBorder="1" applyAlignment="1" applyProtection="1">
      <alignment horizontal="right" vertical="center" wrapText="1" readingOrder="1"/>
      <protection locked="0"/>
    </xf>
    <xf numFmtId="3" fontId="14" fillId="0" borderId="44" xfId="0" applyNumberFormat="1" applyFont="1" applyBorder="1" applyAlignment="1" applyProtection="1">
      <alignment vertical="center" wrapText="1" readingOrder="1"/>
      <protection locked="0"/>
    </xf>
    <xf numFmtId="3" fontId="0" fillId="0" borderId="0" xfId="0" applyNumberFormat="1" applyAlignment="1">
      <alignment horizontal="right"/>
    </xf>
    <xf numFmtId="1" fontId="6" fillId="12" borderId="1" xfId="2" applyNumberFormat="1" applyFont="1" applyFill="1" applyBorder="1" applyAlignment="1">
      <alignment horizontal="center" vertical="center" wrapText="1"/>
      <protection locked="0"/>
    </xf>
    <xf numFmtId="3" fontId="14" fillId="0" borderId="18" xfId="0" applyNumberFormat="1" applyFont="1" applyBorder="1" applyAlignment="1" applyProtection="1">
      <alignment horizontal="right" vertical="center" wrapText="1" readingOrder="1"/>
      <protection locked="0"/>
    </xf>
    <xf numFmtId="3" fontId="13" fillId="12" borderId="51" xfId="0" applyNumberFormat="1" applyFont="1" applyFill="1" applyBorder="1" applyAlignment="1" applyProtection="1">
      <alignment horizontal="center" vertical="center" wrapText="1" readingOrder="1"/>
      <protection locked="0"/>
    </xf>
    <xf numFmtId="3" fontId="0" fillId="0" borderId="0" xfId="0" applyNumberFormat="1" applyAlignment="1">
      <alignment horizontal="center"/>
    </xf>
    <xf numFmtId="0" fontId="14" fillId="0" borderId="45" xfId="0" applyFont="1" applyBorder="1" applyAlignment="1" applyProtection="1">
      <alignment vertical="center" wrapText="1" readingOrder="1"/>
      <protection locked="0"/>
    </xf>
    <xf numFmtId="3" fontId="17" fillId="12" borderId="28" xfId="0" applyNumberFormat="1" applyFont="1" applyFill="1" applyBorder="1" applyAlignment="1" applyProtection="1">
      <alignment vertical="center" wrapText="1" readingOrder="1"/>
      <protection locked="0"/>
    </xf>
    <xf numFmtId="3" fontId="17" fillId="12" borderId="7" xfId="0" applyNumberFormat="1" applyFont="1" applyFill="1" applyBorder="1" applyAlignment="1" applyProtection="1">
      <alignment vertical="center" wrapText="1" readingOrder="1"/>
      <protection locked="0"/>
    </xf>
    <xf numFmtId="3" fontId="17" fillId="12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12" borderId="63" xfId="0" applyNumberFormat="1" applyFont="1" applyFill="1" applyBorder="1" applyAlignment="1" applyProtection="1">
      <alignment vertical="center" wrapText="1" readingOrder="1"/>
      <protection locked="0"/>
    </xf>
    <xf numFmtId="3" fontId="13" fillId="12" borderId="14" xfId="0" applyNumberFormat="1" applyFont="1" applyFill="1" applyBorder="1" applyAlignment="1" applyProtection="1">
      <alignment vertical="center" wrapText="1" readingOrder="1"/>
      <protection locked="0"/>
    </xf>
    <xf numFmtId="3" fontId="13" fillId="12" borderId="7" xfId="0" applyNumberFormat="1" applyFont="1" applyFill="1" applyBorder="1" applyAlignment="1" applyProtection="1">
      <alignment vertical="center" wrapText="1" readingOrder="1"/>
      <protection locked="0"/>
    </xf>
    <xf numFmtId="3" fontId="5" fillId="12" borderId="14" xfId="0" applyNumberFormat="1" applyFont="1" applyFill="1" applyBorder="1" applyAlignment="1">
      <alignment horizontal="right"/>
    </xf>
    <xf numFmtId="3" fontId="5" fillId="12" borderId="7" xfId="0" applyNumberFormat="1" applyFont="1" applyFill="1" applyBorder="1" applyAlignment="1">
      <alignment horizontal="right"/>
    </xf>
    <xf numFmtId="3" fontId="5" fillId="12" borderId="28" xfId="0" applyNumberFormat="1" applyFont="1" applyFill="1" applyBorder="1"/>
    <xf numFmtId="3" fontId="5" fillId="12" borderId="7" xfId="0" applyNumberFormat="1" applyFont="1" applyFill="1" applyBorder="1" applyAlignment="1">
      <alignment horizontal="center"/>
    </xf>
    <xf numFmtId="3" fontId="7" fillId="0" borderId="69" xfId="2" applyNumberFormat="1" applyFont="1" applyFill="1" applyBorder="1" applyAlignment="1">
      <alignment horizontal="right" vertical="center"/>
      <protection locked="0"/>
    </xf>
    <xf numFmtId="3" fontId="7" fillId="0" borderId="2" xfId="2" applyNumberFormat="1" applyFont="1" applyFill="1" applyBorder="1" applyAlignment="1">
      <alignment horizontal="right" vertical="center"/>
      <protection locked="0"/>
    </xf>
    <xf numFmtId="3" fontId="7" fillId="0" borderId="2" xfId="2" applyNumberFormat="1" applyFont="1" applyFill="1" applyBorder="1" applyAlignment="1">
      <alignment horizontal="center" vertical="center"/>
      <protection locked="0"/>
    </xf>
    <xf numFmtId="49" fontId="19" fillId="0" borderId="9" xfId="0" applyNumberFormat="1" applyFont="1" applyBorder="1" applyAlignment="1">
      <alignment horizontal="right"/>
    </xf>
    <xf numFmtId="49" fontId="19" fillId="0" borderId="3" xfId="0" applyNumberFormat="1" applyFont="1" applyBorder="1" applyAlignment="1">
      <alignment horizontal="right"/>
    </xf>
    <xf numFmtId="49" fontId="19" fillId="0" borderId="11" xfId="0" applyNumberFormat="1" applyFont="1" applyBorder="1" applyAlignment="1">
      <alignment horizontal="right"/>
    </xf>
    <xf numFmtId="49" fontId="19" fillId="0" borderId="66" xfId="0" applyNumberFormat="1" applyFont="1" applyBorder="1" applyAlignment="1">
      <alignment horizontal="right"/>
    </xf>
    <xf numFmtId="0" fontId="7" fillId="0" borderId="37" xfId="0" applyFont="1" applyBorder="1"/>
    <xf numFmtId="3" fontId="7" fillId="0" borderId="41" xfId="2" applyNumberFormat="1" applyFont="1" applyFill="1" applyBorder="1" applyAlignment="1">
      <alignment horizontal="right" vertical="center"/>
      <protection locked="0"/>
    </xf>
    <xf numFmtId="3" fontId="6" fillId="0" borderId="7" xfId="0" applyNumberFormat="1" applyFont="1" applyBorder="1" applyAlignment="1">
      <alignment horizontal="center"/>
    </xf>
    <xf numFmtId="3" fontId="7" fillId="0" borderId="6" xfId="0" applyNumberFormat="1" applyFont="1" applyBorder="1"/>
    <xf numFmtId="3" fontId="7" fillId="0" borderId="68" xfId="1" applyNumberFormat="1" applyFont="1" applyBorder="1" applyAlignment="1">
      <alignment horizontal="right"/>
      <protection locked="0"/>
    </xf>
    <xf numFmtId="0" fontId="0" fillId="0" borderId="2" xfId="0" applyBorder="1"/>
    <xf numFmtId="49" fontId="23" fillId="0" borderId="9" xfId="2" applyNumberFormat="1" applyFont="1" applyBorder="1" applyAlignment="1">
      <alignment horizontal="right"/>
      <protection locked="0"/>
    </xf>
    <xf numFmtId="3" fontId="7" fillId="0" borderId="10" xfId="0" applyNumberFormat="1" applyFont="1" applyBorder="1"/>
    <xf numFmtId="3" fontId="7" fillId="0" borderId="36" xfId="2" applyNumberFormat="1" applyFont="1" applyFill="1" applyBorder="1" applyAlignment="1">
      <alignment horizontal="right" vertical="center"/>
      <protection locked="0"/>
    </xf>
    <xf numFmtId="49" fontId="23" fillId="0" borderId="5" xfId="1" applyNumberFormat="1" applyFont="1" applyBorder="1" applyAlignment="1">
      <alignment horizontal="right"/>
      <protection locked="0"/>
    </xf>
    <xf numFmtId="3" fontId="7" fillId="0" borderId="67" xfId="1" applyNumberFormat="1" applyFont="1" applyBorder="1" applyAlignment="1">
      <alignment horizontal="right"/>
      <protection locked="0"/>
    </xf>
    <xf numFmtId="0" fontId="0" fillId="0" borderId="11" xfId="0" applyBorder="1"/>
    <xf numFmtId="0" fontId="0" fillId="0" borderId="15" xfId="0" applyBorder="1"/>
    <xf numFmtId="3" fontId="7" fillId="0" borderId="19" xfId="1" applyNumberFormat="1" applyFont="1" applyBorder="1" applyAlignment="1">
      <alignment horizontal="right"/>
      <protection locked="0"/>
    </xf>
    <xf numFmtId="3" fontId="7" fillId="0" borderId="48" xfId="2" applyNumberFormat="1" applyFont="1" applyFill="1" applyBorder="1" applyAlignment="1">
      <alignment horizontal="center" vertical="center"/>
      <protection locked="0"/>
    </xf>
    <xf numFmtId="3" fontId="7" fillId="0" borderId="30" xfId="1" applyNumberFormat="1" applyFont="1" applyBorder="1" applyAlignment="1">
      <alignment horizontal="center"/>
      <protection locked="0"/>
    </xf>
    <xf numFmtId="3" fontId="7" fillId="0" borderId="29" xfId="1" applyNumberFormat="1" applyFont="1" applyBorder="1" applyAlignment="1">
      <alignment horizontal="center"/>
      <protection locked="0"/>
    </xf>
    <xf numFmtId="3" fontId="7" fillId="0" borderId="68" xfId="1" applyNumberFormat="1" applyFont="1" applyBorder="1" applyAlignment="1">
      <alignment horizontal="center"/>
      <protection locked="0"/>
    </xf>
    <xf numFmtId="3" fontId="6" fillId="12" borderId="39" xfId="0" applyNumberFormat="1" applyFont="1" applyFill="1" applyBorder="1" applyAlignment="1">
      <alignment horizontal="center"/>
    </xf>
    <xf numFmtId="3" fontId="7" fillId="0" borderId="63" xfId="0" applyNumberFormat="1" applyFont="1" applyBorder="1" applyAlignment="1">
      <alignment horizontal="center"/>
    </xf>
    <xf numFmtId="3" fontId="6" fillId="0" borderId="39" xfId="0" applyNumberFormat="1" applyFont="1" applyBorder="1" applyAlignment="1">
      <alignment horizontal="center"/>
    </xf>
    <xf numFmtId="3" fontId="6" fillId="0" borderId="28" xfId="0" applyNumberFormat="1" applyFont="1" applyBorder="1"/>
    <xf numFmtId="3" fontId="7" fillId="0" borderId="65" xfId="0" applyNumberFormat="1" applyFont="1" applyBorder="1"/>
    <xf numFmtId="3" fontId="6" fillId="12" borderId="28" xfId="0" applyNumberFormat="1" applyFont="1" applyFill="1" applyBorder="1"/>
    <xf numFmtId="3" fontId="6" fillId="0" borderId="7" xfId="0" applyNumberFormat="1" applyFont="1" applyBorder="1"/>
    <xf numFmtId="3" fontId="7" fillId="0" borderId="60" xfId="2" applyNumberFormat="1" applyFont="1" applyFill="1" applyBorder="1" applyAlignment="1">
      <alignment horizontal="right" vertical="center"/>
      <protection locked="0"/>
    </xf>
    <xf numFmtId="3" fontId="7" fillId="0" borderId="47" xfId="2" applyNumberFormat="1" applyFont="1" applyFill="1" applyBorder="1" applyAlignment="1">
      <alignment horizontal="right" vertical="center"/>
      <protection locked="0"/>
    </xf>
    <xf numFmtId="3" fontId="7" fillId="0" borderId="56" xfId="2" applyNumberFormat="1" applyFont="1" applyFill="1" applyBorder="1" applyAlignment="1">
      <alignment horizontal="right" vertical="center"/>
      <protection locked="0"/>
    </xf>
    <xf numFmtId="3" fontId="7" fillId="0" borderId="12" xfId="2" applyNumberFormat="1" applyFont="1" applyFill="1" applyBorder="1" applyAlignment="1">
      <alignment horizontal="center" vertical="center"/>
      <protection locked="0"/>
    </xf>
    <xf numFmtId="3" fontId="7" fillId="0" borderId="51" xfId="2" applyNumberFormat="1" applyFont="1" applyFill="1" applyBorder="1" applyAlignment="1">
      <alignment horizontal="center" vertical="center"/>
      <protection locked="0"/>
    </xf>
    <xf numFmtId="3" fontId="6" fillId="13" borderId="39" xfId="0" applyNumberFormat="1" applyFont="1" applyFill="1" applyBorder="1" applyAlignment="1">
      <alignment horizontal="center"/>
    </xf>
    <xf numFmtId="0" fontId="30" fillId="0" borderId="34" xfId="0" applyFont="1" applyBorder="1" applyAlignment="1" applyProtection="1">
      <alignment vertical="center" wrapText="1" readingOrder="1"/>
      <protection locked="0"/>
    </xf>
    <xf numFmtId="3" fontId="30" fillId="0" borderId="53" xfId="0" applyNumberFormat="1" applyFont="1" applyBorder="1" applyAlignment="1" applyProtection="1">
      <alignment horizontal="center" vertical="center" wrapText="1" readingOrder="1"/>
      <protection locked="0"/>
    </xf>
    <xf numFmtId="3" fontId="30" fillId="0" borderId="47" xfId="0" applyNumberFormat="1" applyFont="1" applyBorder="1" applyAlignment="1" applyProtection="1">
      <alignment horizontal="center" vertical="center" wrapText="1" readingOrder="1"/>
      <protection locked="0"/>
    </xf>
    <xf numFmtId="3" fontId="30" fillId="0" borderId="29" xfId="0" applyNumberFormat="1" applyFont="1" applyBorder="1" applyAlignment="1" applyProtection="1">
      <alignment horizontal="center" vertical="center" wrapText="1" readingOrder="1"/>
      <protection locked="0"/>
    </xf>
    <xf numFmtId="3" fontId="30" fillId="0" borderId="2" xfId="0" applyNumberFormat="1" applyFont="1" applyBorder="1" applyAlignment="1" applyProtection="1">
      <alignment horizontal="center" vertical="center" wrapText="1" readingOrder="1"/>
      <protection locked="0"/>
    </xf>
    <xf numFmtId="3" fontId="30" fillId="0" borderId="15" xfId="0" applyNumberFormat="1" applyFont="1" applyBorder="1" applyAlignment="1" applyProtection="1">
      <alignment vertical="center" wrapText="1" readingOrder="1"/>
      <protection locked="0"/>
    </xf>
    <xf numFmtId="3" fontId="13" fillId="12" borderId="8" xfId="0" applyNumberFormat="1" applyFont="1" applyFill="1" applyBorder="1" applyAlignment="1" applyProtection="1">
      <alignment vertical="center" wrapText="1" readingOrder="1"/>
      <protection locked="0"/>
    </xf>
    <xf numFmtId="0" fontId="22" fillId="6" borderId="17" xfId="0" applyFont="1" applyFill="1" applyBorder="1" applyAlignment="1">
      <alignment horizontal="center" vertical="center"/>
    </xf>
    <xf numFmtId="3" fontId="1" fillId="3" borderId="23" xfId="0" applyNumberFormat="1" applyFont="1" applyFill="1" applyBorder="1" applyAlignment="1">
      <alignment horizontal="right" vertical="center" wrapText="1" shrinkToFit="1"/>
    </xf>
    <xf numFmtId="3" fontId="1" fillId="3" borderId="2" xfId="0" applyNumberFormat="1" applyFont="1" applyFill="1" applyBorder="1" applyAlignment="1">
      <alignment vertical="center" wrapText="1" shrinkToFit="1"/>
    </xf>
    <xf numFmtId="3" fontId="20" fillId="3" borderId="2" xfId="0" applyNumberFormat="1" applyFont="1" applyFill="1" applyBorder="1" applyAlignment="1">
      <alignment horizontal="center" vertical="center" wrapText="1" shrinkToFit="1"/>
    </xf>
    <xf numFmtId="3" fontId="5" fillId="4" borderId="8" xfId="0" applyNumberFormat="1" applyFont="1" applyFill="1" applyBorder="1"/>
    <xf numFmtId="3" fontId="31" fillId="4" borderId="38" xfId="0" applyNumberFormat="1" applyFont="1" applyFill="1" applyBorder="1" applyAlignment="1">
      <alignment horizontal="right"/>
    </xf>
    <xf numFmtId="3" fontId="5" fillId="4" borderId="8" xfId="0" applyNumberFormat="1" applyFont="1" applyFill="1" applyBorder="1" applyAlignment="1">
      <alignment horizontal="center"/>
    </xf>
    <xf numFmtId="3" fontId="1" fillId="0" borderId="23" xfId="0" applyNumberFormat="1" applyFont="1" applyBorder="1" applyAlignment="1">
      <alignment horizontal="center" vertical="center" wrapText="1" shrinkToFit="1"/>
    </xf>
    <xf numFmtId="3" fontId="8" fillId="10" borderId="28" xfId="0" applyNumberFormat="1" applyFont="1" applyFill="1" applyBorder="1"/>
    <xf numFmtId="3" fontId="8" fillId="10" borderId="7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" fillId="13" borderId="18" xfId="0" applyFont="1" applyFill="1" applyBorder="1" applyAlignment="1">
      <alignment horizontal="center"/>
    </xf>
    <xf numFmtId="0" fontId="7" fillId="13" borderId="1" xfId="0" applyFont="1" applyFill="1" applyBorder="1" applyAlignment="1">
      <alignment horizontal="center"/>
    </xf>
    <xf numFmtId="1" fontId="7" fillId="12" borderId="18" xfId="2" applyNumberFormat="1" applyFont="1" applyFill="1" applyBorder="1" applyAlignment="1">
      <alignment horizontal="center" vertical="center"/>
      <protection locked="0"/>
    </xf>
    <xf numFmtId="0" fontId="16" fillId="12" borderId="1" xfId="0" applyFont="1" applyFill="1" applyBorder="1" applyAlignment="1">
      <alignment horizontal="center" vertical="center"/>
    </xf>
    <xf numFmtId="49" fontId="6" fillId="13" borderId="26" xfId="0" applyNumberFormat="1" applyFont="1" applyFill="1" applyBorder="1"/>
    <xf numFmtId="49" fontId="28" fillId="13" borderId="39" xfId="0" applyNumberFormat="1" applyFont="1" applyFill="1" applyBorder="1"/>
    <xf numFmtId="3" fontId="6" fillId="12" borderId="26" xfId="0" applyNumberFormat="1" applyFont="1" applyFill="1" applyBorder="1"/>
    <xf numFmtId="0" fontId="28" fillId="12" borderId="39" xfId="0" applyFont="1" applyFill="1" applyBorder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5" fillId="13" borderId="40" xfId="0" applyFont="1" applyFill="1" applyBorder="1" applyAlignment="1">
      <alignment horizontal="center" vertical="center"/>
    </xf>
    <xf numFmtId="0" fontId="0" fillId="13" borderId="35" xfId="0" applyFill="1" applyBorder="1"/>
    <xf numFmtId="0" fontId="15" fillId="12" borderId="59" xfId="0" applyFont="1" applyFill="1" applyBorder="1" applyAlignment="1">
      <alignment horizontal="center" vertical="center"/>
    </xf>
    <xf numFmtId="0" fontId="0" fillId="12" borderId="60" xfId="0" applyFill="1" applyBorder="1" applyAlignment="1">
      <alignment horizontal="center" vertical="center"/>
    </xf>
    <xf numFmtId="0" fontId="0" fillId="12" borderId="35" xfId="0" applyFill="1" applyBorder="1" applyAlignment="1">
      <alignment horizontal="center" vertical="center"/>
    </xf>
    <xf numFmtId="0" fontId="0" fillId="12" borderId="36" xfId="0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 wrapText="1" shrinkToFit="1"/>
    </xf>
    <xf numFmtId="0" fontId="4" fillId="2" borderId="18" xfId="0" applyFont="1" applyFill="1" applyBorder="1" applyAlignment="1">
      <alignment horizontal="center" vertical="center" wrapText="1" shrinkToFit="1"/>
    </xf>
    <xf numFmtId="0" fontId="4" fillId="2" borderId="10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49" fontId="1" fillId="3" borderId="5" xfId="0" applyNumberFormat="1" applyFont="1" applyFill="1" applyBorder="1" applyAlignment="1">
      <alignment horizontal="left" vertical="center" wrapText="1" shrinkToFit="1"/>
    </xf>
    <xf numFmtId="0" fontId="0" fillId="0" borderId="22" xfId="0" applyBorder="1" applyAlignment="1">
      <alignment horizontal="left" vertical="center" wrapText="1" shrinkToFit="1"/>
    </xf>
    <xf numFmtId="0" fontId="4" fillId="2" borderId="45" xfId="0" applyFont="1" applyFill="1" applyBorder="1" applyAlignment="1">
      <alignment horizontal="center" vertical="center" wrapText="1" shrinkToFit="1"/>
    </xf>
    <xf numFmtId="0" fontId="4" fillId="2" borderId="35" xfId="0" applyFont="1" applyFill="1" applyBorder="1" applyAlignment="1">
      <alignment horizontal="center" vertical="center" wrapText="1" shrinkToFit="1"/>
    </xf>
    <xf numFmtId="0" fontId="4" fillId="2" borderId="36" xfId="0" applyFont="1" applyFill="1" applyBorder="1" applyAlignment="1">
      <alignment horizontal="center" vertical="center" wrapText="1" shrinkToFit="1"/>
    </xf>
    <xf numFmtId="0" fontId="3" fillId="5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34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 shrinkToFit="1"/>
    </xf>
    <xf numFmtId="0" fontId="0" fillId="0" borderId="4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6" fillId="4" borderId="26" xfId="0" applyFont="1" applyFill="1" applyBorder="1" applyAlignment="1">
      <alignment horizontal="center"/>
    </xf>
    <xf numFmtId="0" fontId="6" fillId="4" borderId="39" xfId="0" applyFont="1" applyFill="1" applyBorder="1" applyAlignment="1">
      <alignment horizontal="center"/>
    </xf>
    <xf numFmtId="0" fontId="3" fillId="5" borderId="40" xfId="0" applyFont="1" applyFill="1" applyBorder="1" applyAlignment="1">
      <alignment horizontal="center"/>
    </xf>
    <xf numFmtId="0" fontId="3" fillId="5" borderId="35" xfId="0" applyFont="1" applyFill="1" applyBorder="1" applyAlignment="1">
      <alignment horizontal="center"/>
    </xf>
    <xf numFmtId="0" fontId="3" fillId="5" borderId="3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66" xfId="0" applyFont="1" applyFill="1" applyBorder="1" applyAlignment="1">
      <alignment horizontal="center" vertical="center" wrapText="1" shrinkToFit="1"/>
    </xf>
    <xf numFmtId="0" fontId="4" fillId="2" borderId="6" xfId="0" applyFont="1" applyFill="1" applyBorder="1" applyAlignment="1">
      <alignment horizontal="center" vertical="center" wrapText="1" shrinkToFit="1"/>
    </xf>
    <xf numFmtId="0" fontId="4" fillId="2" borderId="51" xfId="0" applyFont="1" applyFill="1" applyBorder="1" applyAlignment="1">
      <alignment horizontal="center" vertical="center" wrapText="1" shrinkToFit="1"/>
    </xf>
    <xf numFmtId="0" fontId="4" fillId="2" borderId="29" xfId="0" applyFont="1" applyFill="1" applyBorder="1" applyAlignment="1">
      <alignment horizontal="center" vertical="center" wrapText="1" shrinkToFit="1"/>
    </xf>
    <xf numFmtId="49" fontId="10" fillId="11" borderId="14" xfId="0" applyNumberFormat="1" applyFont="1" applyFill="1" applyBorder="1" applyAlignment="1">
      <alignment horizontal="center" vertical="center" wrapText="1" shrinkToFit="1"/>
    </xf>
    <xf numFmtId="49" fontId="10" fillId="11" borderId="7" xfId="0" applyNumberFormat="1" applyFont="1" applyFill="1" applyBorder="1" applyAlignment="1">
      <alignment horizontal="center" vertical="center" wrapText="1" shrinkToFit="1"/>
    </xf>
    <xf numFmtId="49" fontId="10" fillId="11" borderId="21" xfId="0" applyNumberFormat="1" applyFont="1" applyFill="1" applyBorder="1" applyAlignment="1">
      <alignment horizontal="center" vertical="center" wrapText="1" shrinkToFit="1"/>
    </xf>
    <xf numFmtId="49" fontId="12" fillId="10" borderId="14" xfId="0" applyNumberFormat="1" applyFont="1" applyFill="1" applyBorder="1" applyAlignment="1">
      <alignment horizontal="center" vertical="center" wrapText="1" shrinkToFit="1"/>
    </xf>
    <xf numFmtId="49" fontId="12" fillId="10" borderId="7" xfId="0" applyNumberFormat="1" applyFont="1" applyFill="1" applyBorder="1" applyAlignment="1">
      <alignment horizontal="center" vertical="center" wrapText="1" shrinkToFit="1"/>
    </xf>
    <xf numFmtId="0" fontId="3" fillId="11" borderId="21" xfId="0" applyFont="1" applyFill="1" applyBorder="1" applyAlignment="1">
      <alignment horizontal="center"/>
    </xf>
    <xf numFmtId="0" fontId="3" fillId="11" borderId="12" xfId="0" applyFont="1" applyFill="1" applyBorder="1" applyAlignment="1">
      <alignment horizontal="center"/>
    </xf>
    <xf numFmtId="0" fontId="3" fillId="11" borderId="13" xfId="0" applyFont="1" applyFill="1" applyBorder="1" applyAlignment="1">
      <alignment horizontal="center"/>
    </xf>
    <xf numFmtId="0" fontId="4" fillId="9" borderId="9" xfId="0" applyFont="1" applyFill="1" applyBorder="1" applyAlignment="1">
      <alignment horizontal="center" vertical="center" wrapText="1" shrinkToFit="1"/>
    </xf>
    <xf numFmtId="0" fontId="4" fillId="9" borderId="18" xfId="0" applyFont="1" applyFill="1" applyBorder="1" applyAlignment="1">
      <alignment horizontal="center" vertical="center" wrapText="1" shrinkToFit="1"/>
    </xf>
    <xf numFmtId="0" fontId="4" fillId="9" borderId="10" xfId="0" applyFont="1" applyFill="1" applyBorder="1" applyAlignment="1">
      <alignment horizontal="center" vertical="center" wrapText="1" shrinkToFit="1"/>
    </xf>
    <xf numFmtId="0" fontId="4" fillId="9" borderId="1" xfId="0" applyFont="1" applyFill="1" applyBorder="1" applyAlignment="1">
      <alignment horizontal="center" vertical="center" wrapText="1" shrinkToFit="1"/>
    </xf>
    <xf numFmtId="0" fontId="4" fillId="9" borderId="45" xfId="0" applyFont="1" applyFill="1" applyBorder="1" applyAlignment="1">
      <alignment horizontal="center" vertical="center" wrapText="1" shrinkToFit="1"/>
    </xf>
    <xf numFmtId="0" fontId="4" fillId="9" borderId="35" xfId="0" applyFont="1" applyFill="1" applyBorder="1" applyAlignment="1">
      <alignment horizontal="center" vertical="center" wrapText="1" shrinkToFit="1"/>
    </xf>
    <xf numFmtId="0" fontId="4" fillId="9" borderId="36" xfId="0" applyFont="1" applyFill="1" applyBorder="1" applyAlignment="1">
      <alignment horizontal="center" vertical="center" wrapText="1" shrinkToFit="1"/>
    </xf>
    <xf numFmtId="0" fontId="13" fillId="14" borderId="26" xfId="0" applyFont="1" applyFill="1" applyBorder="1" applyAlignment="1" applyProtection="1">
      <alignment vertical="center" wrapText="1" readingOrder="1"/>
      <protection locked="0"/>
    </xf>
    <xf numFmtId="0" fontId="5" fillId="14" borderId="27" xfId="0" applyFont="1" applyFill="1" applyBorder="1" applyAlignment="1">
      <alignment vertical="center" wrapText="1" readingOrder="1"/>
    </xf>
    <xf numFmtId="0" fontId="13" fillId="12" borderId="14" xfId="0" applyFont="1" applyFill="1" applyBorder="1" applyAlignment="1" applyProtection="1">
      <alignment horizontal="center" vertical="center" wrapText="1" readingOrder="1"/>
      <protection locked="0"/>
    </xf>
    <xf numFmtId="0" fontId="13" fillId="12" borderId="38" xfId="0" applyFont="1" applyFill="1" applyBorder="1" applyAlignment="1" applyProtection="1">
      <alignment horizontal="center" vertical="center" wrapText="1" readingOrder="1"/>
      <protection locked="0"/>
    </xf>
    <xf numFmtId="49" fontId="13" fillId="14" borderId="26" xfId="0" applyNumberFormat="1" applyFont="1" applyFill="1" applyBorder="1" applyAlignment="1" applyProtection="1">
      <alignment vertical="center" wrapText="1" readingOrder="1"/>
      <protection locked="0"/>
    </xf>
    <xf numFmtId="0" fontId="13" fillId="12" borderId="3" xfId="0" applyFont="1" applyFill="1" applyBorder="1" applyAlignment="1" applyProtection="1">
      <alignment horizontal="center" vertical="center" wrapText="1" readingOrder="1"/>
      <protection locked="0"/>
    </xf>
    <xf numFmtId="0" fontId="13" fillId="12" borderId="18" xfId="0" applyFont="1" applyFill="1" applyBorder="1" applyAlignment="1" applyProtection="1">
      <alignment horizontal="center" vertical="center" wrapText="1" readingOrder="1"/>
      <protection locked="0"/>
    </xf>
    <xf numFmtId="0" fontId="13" fillId="12" borderId="31" xfId="0" applyFont="1" applyFill="1" applyBorder="1" applyAlignment="1" applyProtection="1">
      <alignment horizontal="center" vertical="center" wrapText="1" readingOrder="1"/>
      <protection locked="0"/>
    </xf>
    <xf numFmtId="0" fontId="13" fillId="12" borderId="49" xfId="0" applyFont="1" applyFill="1" applyBorder="1" applyAlignment="1" applyProtection="1">
      <alignment horizontal="center" vertical="center" wrapText="1" readingOrder="1"/>
      <protection locked="0"/>
    </xf>
    <xf numFmtId="0" fontId="13" fillId="7" borderId="26" xfId="0" applyFont="1" applyFill="1" applyBorder="1" applyAlignment="1" applyProtection="1">
      <alignment horizontal="center" wrapText="1" readingOrder="1"/>
      <protection locked="0"/>
    </xf>
    <xf numFmtId="0" fontId="13" fillId="7" borderId="27" xfId="0" applyFont="1" applyFill="1" applyBorder="1" applyAlignment="1" applyProtection="1">
      <alignment horizontal="center" wrapText="1" readingOrder="1"/>
      <protection locked="0"/>
    </xf>
    <xf numFmtId="0" fontId="13" fillId="7" borderId="28" xfId="0" applyFont="1" applyFill="1" applyBorder="1" applyAlignment="1" applyProtection="1">
      <alignment horizontal="center" wrapText="1" readingOrder="1"/>
      <protection locked="0"/>
    </xf>
    <xf numFmtId="0" fontId="13" fillId="12" borderId="40" xfId="0" applyFont="1" applyFill="1" applyBorder="1" applyAlignment="1" applyProtection="1">
      <alignment horizontal="center" vertical="center" wrapText="1" readingOrder="1"/>
      <protection locked="0"/>
    </xf>
    <xf numFmtId="0" fontId="13" fillId="12" borderId="35" xfId="0" applyFont="1" applyFill="1" applyBorder="1" applyAlignment="1" applyProtection="1">
      <alignment horizontal="center" vertical="center" wrapText="1" readingOrder="1"/>
      <protection locked="0"/>
    </xf>
    <xf numFmtId="0" fontId="13" fillId="12" borderId="36" xfId="0" applyFont="1" applyFill="1" applyBorder="1" applyAlignment="1" applyProtection="1">
      <alignment horizontal="center" vertical="center" wrapText="1" readingOrder="1"/>
      <protection locked="0"/>
    </xf>
    <xf numFmtId="0" fontId="13" fillId="14" borderId="59" xfId="0" applyFont="1" applyFill="1" applyBorder="1" applyAlignment="1" applyProtection="1">
      <alignment vertical="center" wrapText="1" readingOrder="1"/>
      <protection locked="0"/>
    </xf>
    <xf numFmtId="0" fontId="5" fillId="14" borderId="60" xfId="0" applyFont="1" applyFill="1" applyBorder="1" applyAlignment="1">
      <alignment vertical="center" wrapText="1" readingOrder="1"/>
    </xf>
    <xf numFmtId="0" fontId="5" fillId="8" borderId="0" xfId="0" applyFont="1" applyFill="1" applyAlignment="1">
      <alignment horizontal="center"/>
    </xf>
    <xf numFmtId="0" fontId="13" fillId="12" borderId="34" xfId="0" applyFont="1" applyFill="1" applyBorder="1" applyAlignment="1" applyProtection="1">
      <alignment horizontal="center" vertical="center" wrapText="1" readingOrder="1"/>
      <protection locked="0"/>
    </xf>
    <xf numFmtId="0" fontId="13" fillId="7" borderId="9" xfId="0" applyFont="1" applyFill="1" applyBorder="1" applyAlignment="1" applyProtection="1">
      <alignment horizontal="center" wrapText="1" readingOrder="1"/>
      <protection locked="0"/>
    </xf>
    <xf numFmtId="0" fontId="13" fillId="7" borderId="10" xfId="0" applyFont="1" applyFill="1" applyBorder="1" applyAlignment="1" applyProtection="1">
      <alignment horizontal="center" wrapText="1" readingOrder="1"/>
      <protection locked="0"/>
    </xf>
    <xf numFmtId="0" fontId="13" fillId="7" borderId="12" xfId="0" applyFont="1" applyFill="1" applyBorder="1" applyAlignment="1" applyProtection="1">
      <alignment horizontal="center" wrapText="1" readingOrder="1"/>
      <protection locked="0"/>
    </xf>
    <xf numFmtId="0" fontId="13" fillId="7" borderId="13" xfId="0" applyFont="1" applyFill="1" applyBorder="1" applyAlignment="1" applyProtection="1">
      <alignment horizontal="center" wrapText="1" readingOrder="1"/>
      <protection locked="0"/>
    </xf>
    <xf numFmtId="0" fontId="13" fillId="12" borderId="11" xfId="0" applyFont="1" applyFill="1" applyBorder="1" applyAlignment="1" applyProtection="1">
      <alignment horizontal="center" vertical="center" wrapText="1" readingOrder="1"/>
      <protection locked="0"/>
    </xf>
    <xf numFmtId="3" fontId="14" fillId="0" borderId="53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47" xfId="0" applyNumberFormat="1" applyFont="1" applyBorder="1" applyAlignment="1" applyProtection="1">
      <alignment horizontal="center" vertical="center" wrapText="1" readingOrder="1"/>
      <protection locked="0"/>
    </xf>
    <xf numFmtId="3" fontId="13" fillId="14" borderId="38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14" borderId="27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14" borderId="39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12" borderId="38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12" borderId="27" xfId="0" applyNumberFormat="1" applyFont="1" applyFill="1" applyBorder="1" applyAlignment="1" applyProtection="1">
      <alignment horizontal="center" vertical="center" wrapText="1" readingOrder="1"/>
      <protection locked="0"/>
    </xf>
    <xf numFmtId="3" fontId="13" fillId="12" borderId="39" xfId="0" applyNumberFormat="1" applyFont="1" applyFill="1" applyBorder="1" applyAlignment="1" applyProtection="1">
      <alignment horizontal="center" vertical="center" wrapText="1" readingOrder="1"/>
      <protection locked="0"/>
    </xf>
    <xf numFmtId="3" fontId="14" fillId="0" borderId="29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43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52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37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62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56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63" xfId="0" applyNumberFormat="1" applyFont="1" applyBorder="1" applyAlignment="1" applyProtection="1">
      <alignment horizontal="center" vertical="center" wrapText="1" readingOrder="1"/>
      <protection locked="0"/>
    </xf>
    <xf numFmtId="49" fontId="14" fillId="0" borderId="57" xfId="0" applyNumberFormat="1" applyFont="1" applyBorder="1" applyAlignment="1" applyProtection="1">
      <alignment horizontal="left" vertical="center" wrapText="1" readingOrder="1"/>
      <protection locked="0"/>
    </xf>
    <xf numFmtId="49" fontId="14" fillId="0" borderId="58" xfId="0" applyNumberFormat="1" applyFont="1" applyBorder="1" applyAlignment="1" applyProtection="1">
      <alignment horizontal="left" vertical="center" wrapText="1" readingOrder="1"/>
      <protection locked="0"/>
    </xf>
    <xf numFmtId="3" fontId="13" fillId="14" borderId="26" xfId="0" applyNumberFormat="1" applyFont="1" applyFill="1" applyBorder="1" applyAlignment="1" applyProtection="1">
      <alignment horizontal="center" vertical="center" wrapText="1" readingOrder="1"/>
      <protection locked="0"/>
    </xf>
    <xf numFmtId="3" fontId="17" fillId="12" borderId="38" xfId="0" applyNumberFormat="1" applyFont="1" applyFill="1" applyBorder="1" applyAlignment="1" applyProtection="1">
      <alignment horizontal="center" vertical="center" wrapText="1" readingOrder="1"/>
      <protection locked="0"/>
    </xf>
    <xf numFmtId="3" fontId="17" fillId="12" borderId="27" xfId="0" applyNumberFormat="1" applyFont="1" applyFill="1" applyBorder="1" applyAlignment="1" applyProtection="1">
      <alignment horizontal="center" vertical="center" wrapText="1" readingOrder="1"/>
      <protection locked="0"/>
    </xf>
    <xf numFmtId="3" fontId="17" fillId="12" borderId="28" xfId="0" applyNumberFormat="1" applyFont="1" applyFill="1" applyBorder="1" applyAlignment="1" applyProtection="1">
      <alignment horizontal="center" vertical="center" wrapText="1" readingOrder="1"/>
      <protection locked="0"/>
    </xf>
    <xf numFmtId="0" fontId="13" fillId="12" borderId="59" xfId="0" applyFont="1" applyFill="1" applyBorder="1" applyAlignment="1" applyProtection="1">
      <alignment horizontal="center" vertical="center" wrapText="1" readingOrder="1"/>
      <protection locked="0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3" fontId="14" fillId="0" borderId="40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35" xfId="0" applyNumberFormat="1" applyFont="1" applyBorder="1" applyAlignment="1" applyProtection="1">
      <alignment horizontal="center" vertical="center" wrapText="1" readingOrder="1"/>
      <protection locked="0"/>
    </xf>
    <xf numFmtId="3" fontId="14" fillId="0" borderId="48" xfId="0" applyNumberFormat="1" applyFont="1" applyBorder="1" applyAlignment="1" applyProtection="1">
      <alignment horizontal="center" vertical="center" wrapText="1" readingOrder="1"/>
      <protection locked="0"/>
    </xf>
    <xf numFmtId="0" fontId="13" fillId="7" borderId="14" xfId="0" applyFont="1" applyFill="1" applyBorder="1" applyAlignment="1" applyProtection="1">
      <alignment horizontal="center" wrapText="1" readingOrder="1"/>
      <protection locked="0"/>
    </xf>
    <xf numFmtId="0" fontId="13" fillId="7" borderId="7" xfId="0" applyFont="1" applyFill="1" applyBorder="1" applyAlignment="1" applyProtection="1">
      <alignment horizontal="center" wrapText="1" readingOrder="1"/>
      <protection locked="0"/>
    </xf>
    <xf numFmtId="0" fontId="13" fillId="7" borderId="8" xfId="0" applyFont="1" applyFill="1" applyBorder="1" applyAlignment="1" applyProtection="1">
      <alignment horizontal="center" wrapText="1" readingOrder="1"/>
      <protection locked="0"/>
    </xf>
    <xf numFmtId="0" fontId="13" fillId="12" borderId="32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horizontal="center" vertical="center"/>
    </xf>
    <xf numFmtId="0" fontId="0" fillId="0" borderId="44" xfId="0" applyBorder="1" applyAlignment="1">
      <alignment horizontal="center" vertical="center"/>
    </xf>
    <xf numFmtId="3" fontId="5" fillId="12" borderId="26" xfId="0" applyNumberFormat="1" applyFont="1" applyFill="1" applyBorder="1" applyAlignment="1">
      <alignment horizontal="center"/>
    </xf>
    <xf numFmtId="3" fontId="5" fillId="12" borderId="27" xfId="0" applyNumberFormat="1" applyFont="1" applyFill="1" applyBorder="1" applyAlignment="1">
      <alignment horizontal="center"/>
    </xf>
    <xf numFmtId="3" fontId="5" fillId="12" borderId="28" xfId="0" applyNumberFormat="1" applyFont="1" applyFill="1" applyBorder="1" applyAlignment="1">
      <alignment horizontal="center"/>
    </xf>
    <xf numFmtId="3" fontId="13" fillId="12" borderId="28" xfId="0" applyNumberFormat="1" applyFont="1" applyFill="1" applyBorder="1" applyAlignment="1" applyProtection="1">
      <alignment horizontal="center" vertical="center" wrapText="1" readingOrder="1"/>
      <protection locked="0"/>
    </xf>
  </cellXfs>
  <cellStyles count="4">
    <cellStyle name="Ezres" xfId="1" builtinId="3"/>
    <cellStyle name="Normál" xfId="0" builtinId="0"/>
    <cellStyle name="Normál 2" xfId="3"/>
    <cellStyle name="Százalék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FFFE0"/>
      <rgbColor rgb="00D3D3D3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tabSelected="1" zoomScaleNormal="100" workbookViewId="0">
      <selection activeCell="S8" sqref="S8"/>
    </sheetView>
  </sheetViews>
  <sheetFormatPr defaultRowHeight="12.75" x14ac:dyDescent="0.2"/>
  <cols>
    <col min="1" max="1" width="7.7109375" customWidth="1"/>
    <col min="2" max="2" width="31.7109375" customWidth="1"/>
    <col min="3" max="3" width="13.85546875" customWidth="1"/>
    <col min="4" max="4" width="11.7109375" customWidth="1"/>
    <col min="5" max="5" width="12.5703125" customWidth="1"/>
    <col min="6" max="6" width="8.42578125" customWidth="1"/>
    <col min="7" max="7" width="13" customWidth="1"/>
    <col min="8" max="8" width="15.5703125" customWidth="1"/>
    <col min="9" max="9" width="7.140625" customWidth="1"/>
    <col min="10" max="10" width="28.85546875" customWidth="1"/>
    <col min="11" max="11" width="13.7109375" customWidth="1"/>
    <col min="12" max="13" width="11.42578125" customWidth="1"/>
    <col min="14" max="14" width="10.42578125" customWidth="1"/>
    <col min="15" max="15" width="9.7109375" customWidth="1"/>
    <col min="16" max="16" width="15.42578125" customWidth="1"/>
    <col min="17" max="18" width="11.5703125" bestFit="1" customWidth="1"/>
  </cols>
  <sheetData>
    <row r="1" spans="1:18" x14ac:dyDescent="0.2">
      <c r="N1" s="348"/>
      <c r="O1" s="348"/>
      <c r="P1" s="349"/>
    </row>
    <row r="2" spans="1:18" ht="15.75" x14ac:dyDescent="0.25">
      <c r="B2" s="358" t="s">
        <v>143</v>
      </c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</row>
    <row r="3" spans="1:18" ht="15.75" x14ac:dyDescent="0.25">
      <c r="B3" s="358" t="s">
        <v>76</v>
      </c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</row>
    <row r="5" spans="1:18" ht="15.75" x14ac:dyDescent="0.25">
      <c r="B5" s="359" t="s">
        <v>55</v>
      </c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  <c r="P5" s="359"/>
    </row>
    <row r="6" spans="1:18" ht="19.5" thickBot="1" x14ac:dyDescent="0.2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4" t="s">
        <v>60</v>
      </c>
    </row>
    <row r="7" spans="1:18" ht="18.75" x14ac:dyDescent="0.2">
      <c r="A7" s="360" t="s">
        <v>42</v>
      </c>
      <c r="B7" s="361"/>
      <c r="C7" s="361"/>
      <c r="D7" s="361"/>
      <c r="E7" s="361"/>
      <c r="F7" s="361"/>
      <c r="G7" s="361"/>
      <c r="H7" s="361"/>
      <c r="I7" s="362" t="s">
        <v>46</v>
      </c>
      <c r="J7" s="363"/>
      <c r="K7" s="364"/>
      <c r="L7" s="363"/>
      <c r="M7" s="363"/>
      <c r="N7" s="363"/>
      <c r="O7" s="364"/>
      <c r="P7" s="365"/>
    </row>
    <row r="8" spans="1:18" ht="29.25" customHeight="1" thickBot="1" x14ac:dyDescent="0.3">
      <c r="A8" s="350" t="s">
        <v>61</v>
      </c>
      <c r="B8" s="351"/>
      <c r="C8" s="190" t="s">
        <v>68</v>
      </c>
      <c r="D8" s="190" t="s">
        <v>138</v>
      </c>
      <c r="E8" s="190" t="s">
        <v>145</v>
      </c>
      <c r="F8" s="42" t="s">
        <v>103</v>
      </c>
      <c r="G8" s="42" t="s">
        <v>67</v>
      </c>
      <c r="H8" s="42" t="s">
        <v>142</v>
      </c>
      <c r="I8" s="352" t="s">
        <v>61</v>
      </c>
      <c r="J8" s="353"/>
      <c r="K8" s="278" t="s">
        <v>68</v>
      </c>
      <c r="L8" s="278" t="s">
        <v>138</v>
      </c>
      <c r="M8" s="199" t="s">
        <v>145</v>
      </c>
      <c r="N8" s="200" t="s">
        <v>103</v>
      </c>
      <c r="O8" s="201" t="s">
        <v>67</v>
      </c>
      <c r="P8" s="202" t="s">
        <v>142</v>
      </c>
    </row>
    <row r="9" spans="1:18" ht="19.5" customHeight="1" x14ac:dyDescent="0.25">
      <c r="A9" s="296" t="s">
        <v>92</v>
      </c>
      <c r="B9" s="176" t="s">
        <v>100</v>
      </c>
      <c r="C9" s="293">
        <f>('Bevételek(Hivatal 2023)'!C18+'Bevételek(Hivatal 2023)'!C25)/1000</f>
        <v>13425.796</v>
      </c>
      <c r="D9" s="293">
        <f>('Bevételek(Hivatal 2023)'!D18+'Bevételek(Hivatal 2023)'!D25)/1000</f>
        <v>11674.564</v>
      </c>
      <c r="E9" s="293">
        <f>('Bevételek(Hivatal 2023)'!E18+'Bevételek(Hivatal 2023)'!E25)/1000</f>
        <v>7000</v>
      </c>
      <c r="F9" s="293">
        <f>('Bevételek(Hivatal 2023)'!F18+'Bevételek(Hivatal 2023)'!F25)/1000</f>
        <v>2195.89</v>
      </c>
      <c r="G9" s="328">
        <f>SUM(H9/D9*100)</f>
        <v>118.80918208166061</v>
      </c>
      <c r="H9" s="325">
        <f>('Bevételek(Hivatal 2023)'!H18+'Bevételek(Hivatal 2023)'!H25)/1000</f>
        <v>13870.454</v>
      </c>
      <c r="I9" s="306" t="s">
        <v>69</v>
      </c>
      <c r="J9" s="307" t="s">
        <v>43</v>
      </c>
      <c r="K9" s="253">
        <f>'Kiadások(Hivatal 2023)'!C19/1000</f>
        <v>86067.47</v>
      </c>
      <c r="L9" s="253">
        <f>'Kiadások(Hivatal 2023)'!D19/1000</f>
        <v>86067.47</v>
      </c>
      <c r="M9" s="253">
        <f>'Kiadások(Hivatal 2023)'!E19/1000</f>
        <v>65174.502999999997</v>
      </c>
      <c r="N9" s="253">
        <f>'Kiadások(Hivatal 2023)'!F19/1000</f>
        <v>4385.3720000000003</v>
      </c>
      <c r="O9" s="314">
        <f>'Kiadások(Hivatal 2023)'!G19/1000</f>
        <v>0.10509527234854237</v>
      </c>
      <c r="P9" s="308">
        <f>'Kiadások(Hivatal 2023)'!H19/1000</f>
        <v>90452.842000000004</v>
      </c>
    </row>
    <row r="10" spans="1:18" ht="20.100000000000001" customHeight="1" x14ac:dyDescent="0.25">
      <c r="A10" s="297" t="s">
        <v>99</v>
      </c>
      <c r="B10" s="177" t="s">
        <v>75</v>
      </c>
      <c r="C10" s="294">
        <f>('Bevételek(Hivatal 2023)'!C19+'Bevételek(Hivatal 2023)'!C20)/1000</f>
        <v>10.8</v>
      </c>
      <c r="D10" s="294">
        <f>('Bevételek(Hivatal 2023)'!D19+'Bevételek(Hivatal 2023)'!D20)/1000</f>
        <v>10.8</v>
      </c>
      <c r="E10" s="294">
        <f>('Bevételek(Hivatal 2023)'!E19+'Bevételek(Hivatal 2023)'!E20)/1000</f>
        <v>3.8330000000000002</v>
      </c>
      <c r="F10" s="294">
        <f>('Bevételek(Hivatal 2023)'!F19+'Bevételek(Hivatal 2023)'!F20)/1000</f>
        <v>-0.49</v>
      </c>
      <c r="G10" s="295">
        <f t="shared" ref="G10:G14" si="0">SUM(H10/D10*100)</f>
        <v>95.462962962962962</v>
      </c>
      <c r="H10" s="326">
        <f>('Bevételek(Hivatal 2023)'!H19+'Bevételek(Hivatal 2023)'!H20)/1000</f>
        <v>10.31</v>
      </c>
      <c r="I10" s="40" t="s">
        <v>62</v>
      </c>
      <c r="J10" s="196" t="s">
        <v>50</v>
      </c>
      <c r="K10" s="254">
        <f>'Kiadások(Hivatal 2023)'!C22/1000</f>
        <v>11871.949000000001</v>
      </c>
      <c r="L10" s="254">
        <f>'Kiadások(Hivatal 2023)'!D22/1000</f>
        <v>11871.949000000001</v>
      </c>
      <c r="M10" s="254">
        <f>'Kiadások(Hivatal 2023)'!E22/1000</f>
        <v>8813.6489999999994</v>
      </c>
      <c r="N10" s="254">
        <f>'Kiadások(Hivatal 2023)'!F22/1000</f>
        <v>1000</v>
      </c>
      <c r="O10" s="315">
        <f>'Kiadások(Hivatal 2023)'!G22/1000</f>
        <v>0.10842321677763271</v>
      </c>
      <c r="P10" s="192">
        <f>'Kiadások(Hivatal 2023)'!H22/1000</f>
        <v>12871.949000000001</v>
      </c>
      <c r="Q10" s="31"/>
      <c r="R10" s="31"/>
    </row>
    <row r="11" spans="1:18" ht="20.100000000000001" customHeight="1" x14ac:dyDescent="0.25">
      <c r="A11" s="298" t="s">
        <v>65</v>
      </c>
      <c r="B11" s="178" t="s">
        <v>152</v>
      </c>
      <c r="C11" s="294">
        <f>('Bevételek(Hivatal 2023)'!C10/1000)</f>
        <v>30227.896000000001</v>
      </c>
      <c r="D11" s="294">
        <f>('Bevételek(Hivatal 2023)'!D10/1000)</f>
        <v>30227.896000000001</v>
      </c>
      <c r="E11" s="294">
        <f>('Bevételek(Hivatal 2023)'!E10/1000)</f>
        <v>30227.896000000001</v>
      </c>
      <c r="F11" s="294">
        <f>('Bevételek(Hivatal 2023)'!F10/1000)</f>
        <v>0</v>
      </c>
      <c r="G11" s="295">
        <f t="shared" si="0"/>
        <v>100</v>
      </c>
      <c r="H11" s="326">
        <f>('Bevételek(Hivatal 2023)'!H10/1000)</f>
        <v>30227.896000000001</v>
      </c>
      <c r="I11" s="41" t="s">
        <v>63</v>
      </c>
      <c r="J11" s="197" t="s">
        <v>45</v>
      </c>
      <c r="K11" s="255">
        <f>'Kiadások(Hivatal 2023)'!C32/1000</f>
        <v>4950.9160000000002</v>
      </c>
      <c r="L11" s="255">
        <f>'Kiadások(Hivatal 2023)'!D32/1000</f>
        <v>4950.9160000000002</v>
      </c>
      <c r="M11" s="255">
        <f>'Kiadások(Hivatal 2023)'!E32/1000</f>
        <v>2217.8029999999999</v>
      </c>
      <c r="N11" s="255">
        <f>'Kiadások(Hivatal 2023)'!F32/1000</f>
        <v>-1000</v>
      </c>
      <c r="O11" s="316">
        <f>'Kiadások(Hivatal 2023)'!G32/1000</f>
        <v>7.9801717500357514E-2</v>
      </c>
      <c r="P11" s="193">
        <f>'Kiadások(Hivatal 2023)'!H32/1000</f>
        <v>3950.9160000000002</v>
      </c>
      <c r="Q11" s="43"/>
      <c r="R11" s="43"/>
    </row>
    <row r="12" spans="1:18" ht="20.100000000000001" customHeight="1" x14ac:dyDescent="0.25">
      <c r="A12" s="298"/>
      <c r="B12" s="178" t="s">
        <v>153</v>
      </c>
      <c r="C12" s="294">
        <f>('Bevételek(Hivatal 2023)'!C11/1000)</f>
        <v>41919.214</v>
      </c>
      <c r="D12" s="294">
        <f>('Bevételek(Hivatal 2023)'!D11/1000)</f>
        <v>41919.214</v>
      </c>
      <c r="E12" s="294">
        <f>('Bevételek(Hivatal 2023)'!E11/1000)</f>
        <v>28601.704000000002</v>
      </c>
      <c r="F12" s="294">
        <f>('Bevételek(Hivatal 2023)'!F11/1000)</f>
        <v>0</v>
      </c>
      <c r="G12" s="295">
        <f t="shared" si="0"/>
        <v>100</v>
      </c>
      <c r="H12" s="326">
        <f>('Bevételek(Hivatal 2023)'!H11/1000)</f>
        <v>41919.214</v>
      </c>
      <c r="I12" s="309" t="s">
        <v>102</v>
      </c>
      <c r="J12" s="303" t="s">
        <v>133</v>
      </c>
      <c r="K12" s="304">
        <f>SUM(('Kiadások(Hivatal 2023)'!C33+'Kiadások(Hivatal 2023)'!C34+'Kiadások(Hivatal 2023)'!C35)/1000)</f>
        <v>176.69900000000001</v>
      </c>
      <c r="L12" s="304">
        <f>SUM(('Kiadások(Hivatal 2023)'!D33+'Kiadások(Hivatal 2023)'!D34+'Kiadások(Hivatal 2023)'!D35)/1000)</f>
        <v>176.69900000000001</v>
      </c>
      <c r="M12" s="304">
        <f>SUM(('Kiadások(Hivatal 2023)'!E33+'Kiadások(Hivatal 2023)'!E34+'Kiadások(Hivatal 2023)'!E35)/1000)</f>
        <v>2.4</v>
      </c>
      <c r="N12" s="304">
        <f>SUM(('Kiadások(Hivatal 2023)'!F33+'Kiadások(Hivatal 2023)'!F34+'Kiadások(Hivatal 2023)'!F35)/1000)</f>
        <v>2.4</v>
      </c>
      <c r="O12" s="317">
        <f>SUM(('Kiadások(Hivatal 2023)'!G33+'Kiadások(Hivatal 2023)'!G34+'Kiadások(Hivatal 2023)'!G35)/1000)</f>
        <v>0.1</v>
      </c>
      <c r="P12" s="310">
        <f>SUM(('Kiadások(Hivatal 2023)'!H33+'Kiadások(Hivatal 2023)'!H34+'Kiadások(Hivatal 2023)'!H35)/1000)</f>
        <v>179.09899999999999</v>
      </c>
      <c r="Q12" s="43"/>
      <c r="R12" s="43"/>
    </row>
    <row r="13" spans="1:18" ht="20.100000000000001" customHeight="1" x14ac:dyDescent="0.25">
      <c r="A13" s="298" t="s">
        <v>65</v>
      </c>
      <c r="B13" s="178" t="s">
        <v>51</v>
      </c>
      <c r="C13" s="294">
        <f>('Bevételek(Hivatal 2023)'!C12/1000)</f>
        <v>13425.796</v>
      </c>
      <c r="D13" s="294">
        <f>('Bevételek(Hivatal 2023)'!D12/1000)</f>
        <v>10798.948</v>
      </c>
      <c r="E13" s="294">
        <f>('Bevételek(Hivatal 2023)'!E12/1000)</f>
        <v>0</v>
      </c>
      <c r="F13" s="294">
        <f>('Bevételek(Hivatal 2023)'!F12/1000)</f>
        <v>2194.7719999999999</v>
      </c>
      <c r="G13" s="295">
        <f t="shared" si="0"/>
        <v>120.3239426655263</v>
      </c>
      <c r="H13" s="326">
        <f>('Bevételek(Hivatal 2023)'!H12/1000)</f>
        <v>12993.72</v>
      </c>
      <c r="I13" s="311"/>
      <c r="J13" s="305"/>
      <c r="K13" s="305"/>
      <c r="L13" s="305"/>
      <c r="M13" s="305"/>
      <c r="N13" s="305"/>
      <c r="O13" s="305"/>
      <c r="P13" s="312"/>
      <c r="Q13" s="43"/>
      <c r="R13" s="43"/>
    </row>
    <row r="14" spans="1:18" ht="20.100000000000001" customHeight="1" thickBot="1" x14ac:dyDescent="0.3">
      <c r="A14" s="299" t="s">
        <v>65</v>
      </c>
      <c r="B14" s="300" t="s">
        <v>141</v>
      </c>
      <c r="C14" s="301">
        <f>('Bevételek(Hivatal 2023)'!C13/1000)</f>
        <v>0</v>
      </c>
      <c r="D14" s="301">
        <f>('Bevételek(Hivatal 2023)'!D13/1000)</f>
        <v>4378.08</v>
      </c>
      <c r="E14" s="301">
        <f>('Bevételek(Hivatal 2023)'!E13/1000)</f>
        <v>4378.08</v>
      </c>
      <c r="F14" s="301">
        <f>('Bevételek(Hivatal 2023)'!F13/1000)</f>
        <v>0</v>
      </c>
      <c r="G14" s="329">
        <f t="shared" si="0"/>
        <v>100</v>
      </c>
      <c r="H14" s="327">
        <f>('Bevételek(Hivatal 2023)'!H13/1000)</f>
        <v>4378.08</v>
      </c>
      <c r="I14" s="191"/>
      <c r="J14" s="198"/>
      <c r="K14" s="258"/>
      <c r="L14" s="258"/>
      <c r="M14" s="258"/>
      <c r="N14" s="258"/>
      <c r="O14" s="260"/>
      <c r="P14" s="313"/>
      <c r="Q14" s="43"/>
      <c r="R14" s="43"/>
    </row>
    <row r="15" spans="1:18" ht="20.100000000000001" customHeight="1" thickBot="1" x14ac:dyDescent="0.3">
      <c r="A15" s="112"/>
      <c r="B15" s="179" t="s">
        <v>101</v>
      </c>
      <c r="C15" s="114">
        <f>SUM(C9:C14)</f>
        <v>99009.502000000008</v>
      </c>
      <c r="D15" s="114">
        <f t="shared" ref="D15:H15" si="1">SUM(D9:D14)</f>
        <v>99009.502000000008</v>
      </c>
      <c r="E15" s="114">
        <f t="shared" si="1"/>
        <v>70211.513000000006</v>
      </c>
      <c r="F15" s="114">
        <f t="shared" si="1"/>
        <v>4390.1720000000005</v>
      </c>
      <c r="G15" s="302">
        <f>SUM(H15/D15*100)</f>
        <v>104.4340915885023</v>
      </c>
      <c r="H15" s="114">
        <f t="shared" si="1"/>
        <v>103399.67400000001</v>
      </c>
      <c r="I15" s="113"/>
      <c r="J15" s="324" t="s">
        <v>52</v>
      </c>
      <c r="K15" s="256">
        <f>SUM(K9:K12)</f>
        <v>103067.03399999999</v>
      </c>
      <c r="L15" s="256">
        <f t="shared" ref="L15:P15" si="2">SUM(L9:L12)</f>
        <v>103067.03399999999</v>
      </c>
      <c r="M15" s="256">
        <f t="shared" si="2"/>
        <v>76208.354999999996</v>
      </c>
      <c r="N15" s="256">
        <f t="shared" si="2"/>
        <v>4387.7719999999999</v>
      </c>
      <c r="O15" s="320">
        <f t="shared" si="2"/>
        <v>0.39332020662653255</v>
      </c>
      <c r="P15" s="321">
        <f t="shared" si="2"/>
        <v>107454.806</v>
      </c>
      <c r="Q15" s="31"/>
      <c r="R15" s="31"/>
    </row>
    <row r="16" spans="1:18" ht="20.100000000000001" customHeight="1" thickBot="1" x14ac:dyDescent="0.3">
      <c r="A16" s="174" t="s">
        <v>64</v>
      </c>
      <c r="B16" s="180" t="s">
        <v>53</v>
      </c>
      <c r="C16" s="175">
        <f>'Bevételek(Hivatal 2023)'!C8/1000</f>
        <v>4057.5320000000002</v>
      </c>
      <c r="D16" s="175">
        <f>'Bevételek(Hivatal 2023)'!D8/1000</f>
        <v>4057.5320000000002</v>
      </c>
      <c r="E16" s="175">
        <f>'Bevételek(Hivatal 2023)'!E8/1000</f>
        <v>4055.1320000000001</v>
      </c>
      <c r="F16" s="175">
        <f>'Bevételek(Hivatal 2023)'!F8/1000</f>
        <v>-2.4</v>
      </c>
      <c r="G16" s="259">
        <f>'Bevételek(Hivatal 2023)'!G8/1000</f>
        <v>9.9940850743752599E-2</v>
      </c>
      <c r="H16" s="175">
        <f>'Bevételek(Hivatal 2023)'!H8/1000</f>
        <v>4055.1320000000001</v>
      </c>
      <c r="I16" s="173" t="s">
        <v>122</v>
      </c>
      <c r="J16" s="195" t="s">
        <v>123</v>
      </c>
      <c r="K16" s="194">
        <f>SUM('Kiadások(Hivatal 2023)'!C39/1000)</f>
        <v>0</v>
      </c>
      <c r="L16" s="194">
        <f>SUM('Kiadások(Hivatal 2023)'!D39/1000)</f>
        <v>0</v>
      </c>
      <c r="M16" s="194">
        <f>SUM('Kiadások(Hivatal 2023)'!E39/1000)</f>
        <v>0</v>
      </c>
      <c r="N16" s="194">
        <f>SUM('Kiadások(Hivatal 2023)'!F39/1000)</f>
        <v>0</v>
      </c>
      <c r="O16" s="319">
        <f>SUM('Kiadások(Hivatal 2023)'!G39/1000)</f>
        <v>0</v>
      </c>
      <c r="P16" s="322">
        <f>SUM('Kiadások(Hivatal 2023)'!H39/1000)</f>
        <v>0</v>
      </c>
      <c r="Q16" s="31"/>
      <c r="R16" s="31"/>
    </row>
    <row r="17" spans="1:18" ht="21.75" customHeight="1" thickBot="1" x14ac:dyDescent="0.3">
      <c r="A17" s="354" t="s">
        <v>54</v>
      </c>
      <c r="B17" s="355"/>
      <c r="C17" s="134">
        <f>SUM(C15:C16)</f>
        <v>103067.03400000001</v>
      </c>
      <c r="D17" s="134">
        <f t="shared" ref="D17:H17" si="3">SUM(D15:D16)</f>
        <v>103067.03400000001</v>
      </c>
      <c r="E17" s="134">
        <f t="shared" si="3"/>
        <v>74266.645000000004</v>
      </c>
      <c r="F17" s="134">
        <f t="shared" si="3"/>
        <v>4387.7720000000008</v>
      </c>
      <c r="G17" s="330">
        <f t="shared" si="3"/>
        <v>104.53403243924605</v>
      </c>
      <c r="H17" s="134">
        <f t="shared" si="3"/>
        <v>107454.80600000001</v>
      </c>
      <c r="I17" s="356" t="s">
        <v>54</v>
      </c>
      <c r="J17" s="357"/>
      <c r="K17" s="257">
        <f>SUM('Kiadások(Hivatal 2023)'!C40/1000)</f>
        <v>103067.034</v>
      </c>
      <c r="L17" s="257">
        <f>SUM('Kiadások(Hivatal 2023)'!D40/1000)</f>
        <v>103067.034</v>
      </c>
      <c r="M17" s="257">
        <f>SUM('Kiadások(Hivatal 2023)'!E40/1000)</f>
        <v>76208.354999999996</v>
      </c>
      <c r="N17" s="257">
        <f>SUM('Kiadások(Hivatal 2023)'!F40/1000)</f>
        <v>4387.7719999999999</v>
      </c>
      <c r="O17" s="318">
        <f>SUM('Kiadások(Hivatal 2023)'!G40/1000)</f>
        <v>0.1042572021622355</v>
      </c>
      <c r="P17" s="323">
        <f>SUM('Kiadások(Hivatal 2023)'!H40/1000)</f>
        <v>107454.806</v>
      </c>
      <c r="Q17" s="31"/>
      <c r="R17" s="31"/>
    </row>
    <row r="20" spans="1:18" ht="15.75" x14ac:dyDescent="0.25">
      <c r="F20" s="48"/>
      <c r="G20" s="48"/>
      <c r="H20" s="48"/>
    </row>
    <row r="21" spans="1:18" ht="15.75" x14ac:dyDescent="0.25">
      <c r="F21" s="48"/>
      <c r="G21" s="48"/>
      <c r="H21" s="48"/>
    </row>
    <row r="22" spans="1:18" ht="15.75" x14ac:dyDescent="0.25">
      <c r="F22" s="49"/>
      <c r="G22" s="49"/>
      <c r="H22" s="49"/>
    </row>
    <row r="23" spans="1:18" ht="15.75" x14ac:dyDescent="0.25">
      <c r="F23" s="48"/>
      <c r="G23" s="48"/>
      <c r="H23" s="48"/>
    </row>
    <row r="24" spans="1:18" ht="15.75" x14ac:dyDescent="0.25">
      <c r="B24" s="50"/>
      <c r="C24" s="50"/>
      <c r="D24" s="50"/>
      <c r="E24" s="50"/>
      <c r="F24" s="51"/>
      <c r="G24" s="51"/>
      <c r="H24" s="51"/>
      <c r="I24" s="50"/>
      <c r="J24" s="50"/>
      <c r="K24" s="50"/>
      <c r="L24" s="50"/>
      <c r="M24" s="50"/>
    </row>
    <row r="25" spans="1:18" x14ac:dyDescent="0.2">
      <c r="B25" s="50"/>
      <c r="C25" s="50"/>
      <c r="D25" s="50"/>
      <c r="E25" s="50"/>
      <c r="F25" s="50"/>
      <c r="G25" s="50"/>
      <c r="H25" s="52"/>
      <c r="I25" s="50"/>
      <c r="J25" s="50"/>
      <c r="K25" s="50"/>
      <c r="L25" s="50"/>
      <c r="M25" s="50"/>
    </row>
    <row r="26" spans="1:18" x14ac:dyDescent="0.2">
      <c r="B26" s="50"/>
      <c r="C26" s="50"/>
      <c r="D26" s="50"/>
      <c r="E26" s="50"/>
      <c r="F26" s="50"/>
      <c r="G26" s="50"/>
      <c r="H26" s="52"/>
      <c r="I26" s="50"/>
      <c r="J26" s="50"/>
      <c r="K26" s="50"/>
      <c r="L26" s="50"/>
      <c r="M26" s="50"/>
    </row>
    <row r="27" spans="1:18" x14ac:dyDescent="0.2">
      <c r="B27" s="50"/>
      <c r="C27" s="50"/>
      <c r="D27" s="50"/>
      <c r="E27" s="50"/>
      <c r="F27" s="50"/>
      <c r="G27" s="50"/>
      <c r="H27" s="26"/>
      <c r="I27" s="50"/>
      <c r="J27" s="50"/>
      <c r="K27" s="50"/>
      <c r="L27" s="50"/>
      <c r="M27" s="50"/>
    </row>
    <row r="28" spans="1:18" x14ac:dyDescent="0.2"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</sheetData>
  <sheetProtection algorithmName="SHA-512" hashValue="d6lT6epLrgpHosbg07AN+j/uXrsSiguS1Nxz8IaLBl/OiJwD0zWT6XlQ2n/6gCuP8ooCZsT4zQoLm29T069EmQ==" saltValue="8CD09aoUEb3384DbaHU54g==" spinCount="100000" sheet="1" objects="1" scenarios="1"/>
  <mergeCells count="10">
    <mergeCell ref="N1:P1"/>
    <mergeCell ref="A8:B8"/>
    <mergeCell ref="I8:J8"/>
    <mergeCell ref="A17:B17"/>
    <mergeCell ref="I17:J17"/>
    <mergeCell ref="B2:P2"/>
    <mergeCell ref="B3:P3"/>
    <mergeCell ref="B5:P5"/>
    <mergeCell ref="A7:H7"/>
    <mergeCell ref="I7:P7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59" orientation="landscape" r:id="rId1"/>
  <headerFooter alignWithMargins="0">
    <oddHeader>&amp;LPiliscsévi Közös Önkormányzati Hivatal&amp;RII/1. számú melléklet</oddHeader>
  </headerFooter>
  <colBreaks count="1" manualBreakCount="1">
    <brk id="16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topLeftCell="A6" zoomScaleNormal="100" workbookViewId="0">
      <selection activeCell="M15" sqref="M15"/>
    </sheetView>
  </sheetViews>
  <sheetFormatPr defaultRowHeight="12.75" x14ac:dyDescent="0.2"/>
  <cols>
    <col min="1" max="1" width="12.28515625" customWidth="1"/>
    <col min="2" max="2" width="37.28515625" customWidth="1"/>
    <col min="3" max="4" width="14.28515625" customWidth="1"/>
    <col min="5" max="5" width="12.140625" customWidth="1"/>
    <col min="6" max="6" width="9.85546875" customWidth="1"/>
    <col min="7" max="7" width="5.7109375" bestFit="1" customWidth="1"/>
    <col min="8" max="8" width="12.28515625" customWidth="1"/>
    <col min="11" max="11" width="15" bestFit="1" customWidth="1"/>
    <col min="12" max="12" width="10.140625" bestFit="1" customWidth="1"/>
  </cols>
  <sheetData>
    <row r="1" spans="1:12" x14ac:dyDescent="0.2">
      <c r="G1" s="13"/>
      <c r="H1" s="13"/>
    </row>
    <row r="2" spans="1:12" ht="15.75" x14ac:dyDescent="0.25">
      <c r="A2" s="358" t="s">
        <v>143</v>
      </c>
      <c r="B2" s="358"/>
      <c r="C2" s="358"/>
      <c r="D2" s="358"/>
      <c r="E2" s="358"/>
      <c r="F2" s="358"/>
      <c r="G2" s="358"/>
      <c r="H2" s="358"/>
    </row>
    <row r="3" spans="1:12" ht="15.75" x14ac:dyDescent="0.25">
      <c r="A3" s="358" t="s">
        <v>76</v>
      </c>
      <c r="B3" s="358"/>
      <c r="C3" s="358"/>
      <c r="D3" s="358"/>
      <c r="E3" s="358"/>
      <c r="F3" s="358"/>
      <c r="G3" s="358"/>
      <c r="H3" s="358"/>
    </row>
    <row r="4" spans="1:12" ht="13.5" thickBot="1" x14ac:dyDescent="0.25">
      <c r="H4" s="19" t="s">
        <v>58</v>
      </c>
    </row>
    <row r="5" spans="1:12" ht="27" customHeight="1" thickBot="1" x14ac:dyDescent="0.3">
      <c r="A5" s="368" t="s">
        <v>66</v>
      </c>
      <c r="B5" s="369"/>
      <c r="C5" s="369"/>
      <c r="D5" s="369"/>
      <c r="E5" s="369"/>
      <c r="F5" s="369"/>
      <c r="G5" s="369"/>
      <c r="H5" s="370"/>
    </row>
    <row r="6" spans="1:12" ht="18.75" customHeight="1" x14ac:dyDescent="0.2">
      <c r="A6" s="371" t="s">
        <v>0</v>
      </c>
      <c r="B6" s="373" t="s">
        <v>22</v>
      </c>
      <c r="C6" s="377">
        <v>2023</v>
      </c>
      <c r="D6" s="378"/>
      <c r="E6" s="378"/>
      <c r="F6" s="378"/>
      <c r="G6" s="378"/>
      <c r="H6" s="379"/>
    </row>
    <row r="7" spans="1:12" ht="36.75" customHeight="1" thickBot="1" x14ac:dyDescent="0.25">
      <c r="A7" s="372"/>
      <c r="B7" s="374"/>
      <c r="C7" s="33" t="s">
        <v>68</v>
      </c>
      <c r="D7" s="115" t="s">
        <v>139</v>
      </c>
      <c r="E7" s="115" t="s">
        <v>145</v>
      </c>
      <c r="F7" s="115" t="s">
        <v>103</v>
      </c>
      <c r="G7" s="33" t="s">
        <v>67</v>
      </c>
      <c r="H7" s="46" t="s">
        <v>144</v>
      </c>
    </row>
    <row r="8" spans="1:12" ht="24.95" customHeight="1" x14ac:dyDescent="0.2">
      <c r="A8" s="1" t="s">
        <v>2</v>
      </c>
      <c r="B8" s="2" t="s">
        <v>23</v>
      </c>
      <c r="C8" s="102">
        <v>4057532</v>
      </c>
      <c r="D8" s="102">
        <v>4057532</v>
      </c>
      <c r="E8" s="102">
        <v>4055132</v>
      </c>
      <c r="F8" s="3">
        <f>H8-D8</f>
        <v>-2400</v>
      </c>
      <c r="G8" s="60">
        <f>H8/D8*100</f>
        <v>99.940850743752605</v>
      </c>
      <c r="H8" s="38">
        <f>SUM('Leosztott bev'!G4+'Leosztott bev'!O4)</f>
        <v>4055132</v>
      </c>
    </row>
    <row r="9" spans="1:12" ht="24.95" customHeight="1" x14ac:dyDescent="0.2">
      <c r="A9" s="375" t="s">
        <v>3</v>
      </c>
      <c r="B9" s="4" t="s">
        <v>24</v>
      </c>
      <c r="C9" s="244">
        <f t="shared" ref="C9:D9" si="0">SUM(C10:C13)</f>
        <v>85572906</v>
      </c>
      <c r="D9" s="244">
        <f t="shared" si="0"/>
        <v>87324138</v>
      </c>
      <c r="E9" s="244">
        <f>SUM(E10:E13)</f>
        <v>63207680</v>
      </c>
      <c r="F9" s="244">
        <f t="shared" ref="F9" si="1">SUM(F10:F12)</f>
        <v>2194772</v>
      </c>
      <c r="G9" s="60">
        <f>H9/D9*100</f>
        <v>102.51336234203652</v>
      </c>
      <c r="H9" s="44">
        <f>SUM(H10:H13)</f>
        <v>89518910</v>
      </c>
    </row>
    <row r="10" spans="1:12" ht="24.95" customHeight="1" x14ac:dyDescent="0.2">
      <c r="A10" s="376"/>
      <c r="B10" s="45" t="s">
        <v>134</v>
      </c>
      <c r="C10" s="117">
        <v>30227896</v>
      </c>
      <c r="D10" s="267">
        <v>30227896</v>
      </c>
      <c r="E10" s="267">
        <v>30227896</v>
      </c>
      <c r="F10" s="3">
        <f>H10-D10</f>
        <v>0</v>
      </c>
      <c r="G10" s="60">
        <f t="shared" ref="G10:G13" si="2">H10/D10*100</f>
        <v>100</v>
      </c>
      <c r="H10" s="47">
        <v>30227896</v>
      </c>
      <c r="J10" s="266"/>
      <c r="K10" s="31"/>
      <c r="L10" s="31"/>
    </row>
    <row r="11" spans="1:12" ht="24.95" customHeight="1" x14ac:dyDescent="0.2">
      <c r="A11" s="376"/>
      <c r="B11" s="45" t="s">
        <v>135</v>
      </c>
      <c r="C11" s="117">
        <v>41919214</v>
      </c>
      <c r="D11" s="267">
        <v>41919214</v>
      </c>
      <c r="E11" s="267">
        <v>28601704</v>
      </c>
      <c r="F11" s="3">
        <f t="shared" ref="F11:F13" si="3">H11-D11</f>
        <v>0</v>
      </c>
      <c r="G11" s="60">
        <f t="shared" si="2"/>
        <v>100</v>
      </c>
      <c r="H11" s="47">
        <v>41919214</v>
      </c>
      <c r="J11" s="266"/>
      <c r="K11" s="31"/>
      <c r="L11" s="31"/>
    </row>
    <row r="12" spans="1:12" ht="24.95" customHeight="1" x14ac:dyDescent="0.2">
      <c r="A12" s="376"/>
      <c r="B12" s="45" t="s">
        <v>97</v>
      </c>
      <c r="C12" s="117">
        <v>13425796</v>
      </c>
      <c r="D12" s="117">
        <v>10798948</v>
      </c>
      <c r="E12" s="267">
        <v>0</v>
      </c>
      <c r="F12" s="3">
        <f t="shared" si="3"/>
        <v>2194772</v>
      </c>
      <c r="G12" s="60">
        <f t="shared" si="2"/>
        <v>120.3239426655263</v>
      </c>
      <c r="H12" s="47">
        <f>SUM('Leosztott bev'!G8)</f>
        <v>12993720</v>
      </c>
      <c r="K12" s="82"/>
      <c r="L12" s="31"/>
    </row>
    <row r="13" spans="1:12" ht="24.95" customHeight="1" thickBot="1" x14ac:dyDescent="0.25">
      <c r="A13" s="261"/>
      <c r="B13" s="263" t="s">
        <v>140</v>
      </c>
      <c r="C13" s="264">
        <v>0</v>
      </c>
      <c r="D13" s="264">
        <v>4378080</v>
      </c>
      <c r="E13" s="264">
        <v>4378080</v>
      </c>
      <c r="F13" s="3">
        <f t="shared" si="3"/>
        <v>0</v>
      </c>
      <c r="G13" s="60">
        <f t="shared" si="2"/>
        <v>100</v>
      </c>
      <c r="H13" s="265">
        <f>SUM('Leosztott bev'!G6+'Leosztott bev'!O7)</f>
        <v>4378080</v>
      </c>
      <c r="K13" s="82"/>
      <c r="L13" s="31"/>
    </row>
    <row r="14" spans="1:12" ht="26.25" customHeight="1" thickBot="1" x14ac:dyDescent="0.3">
      <c r="A14" s="366" t="s">
        <v>73</v>
      </c>
      <c r="B14" s="367"/>
      <c r="C14" s="251">
        <f>SUM(C8:C9)</f>
        <v>89630438</v>
      </c>
      <c r="D14" s="251">
        <f t="shared" ref="D14:F14" si="4">SUM(D8:D9)</f>
        <v>91381670</v>
      </c>
      <c r="E14" s="251">
        <f t="shared" si="4"/>
        <v>67262812</v>
      </c>
      <c r="F14" s="251">
        <f t="shared" si="4"/>
        <v>2192372</v>
      </c>
      <c r="G14" s="252">
        <f>H14/C14*100</f>
        <v>104.39984907805537</v>
      </c>
      <c r="H14" s="5">
        <f>SUM(H8:H9)</f>
        <v>93574042</v>
      </c>
      <c r="L14" s="31"/>
    </row>
    <row r="15" spans="1:12" ht="26.25" customHeight="1" thickBot="1" x14ac:dyDescent="0.3">
      <c r="A15" s="368" t="s">
        <v>91</v>
      </c>
      <c r="B15" s="369"/>
      <c r="C15" s="369"/>
      <c r="D15" s="369"/>
      <c r="E15" s="369"/>
      <c r="F15" s="369"/>
      <c r="G15" s="369"/>
      <c r="H15" s="370"/>
    </row>
    <row r="16" spans="1:12" ht="26.25" customHeight="1" x14ac:dyDescent="0.2">
      <c r="A16" s="371" t="s">
        <v>0</v>
      </c>
      <c r="B16" s="373" t="s">
        <v>22</v>
      </c>
      <c r="C16" s="377">
        <v>2023</v>
      </c>
      <c r="D16" s="378"/>
      <c r="E16" s="378"/>
      <c r="F16" s="378"/>
      <c r="G16" s="378"/>
      <c r="H16" s="379"/>
    </row>
    <row r="17" spans="1:12" ht="36" customHeight="1" thickBot="1" x14ac:dyDescent="0.25">
      <c r="A17" s="372"/>
      <c r="B17" s="374"/>
      <c r="C17" s="33" t="s">
        <v>68</v>
      </c>
      <c r="D17" s="115" t="s">
        <v>139</v>
      </c>
      <c r="E17" s="115" t="s">
        <v>145</v>
      </c>
      <c r="F17" s="115" t="s">
        <v>103</v>
      </c>
      <c r="G17" s="33" t="s">
        <v>67</v>
      </c>
      <c r="H17" s="46" t="s">
        <v>144</v>
      </c>
      <c r="L17" s="31"/>
    </row>
    <row r="18" spans="1:12" ht="24.95" customHeight="1" x14ac:dyDescent="0.2">
      <c r="A18" s="73" t="s">
        <v>92</v>
      </c>
      <c r="B18" s="99" t="s">
        <v>98</v>
      </c>
      <c r="C18" s="100">
        <v>13425796</v>
      </c>
      <c r="D18" s="105">
        <v>11674564</v>
      </c>
      <c r="E18" s="105">
        <v>7000000</v>
      </c>
      <c r="F18" s="102">
        <f>SUM(H18-D18)</f>
        <v>2195890</v>
      </c>
      <c r="G18" s="60">
        <f>SUM(H18/D18*100)</f>
        <v>118.80918208166061</v>
      </c>
      <c r="H18" s="101">
        <f>SUM('Leosztott bev'!O13)</f>
        <v>13870454</v>
      </c>
      <c r="K18" s="82"/>
      <c r="L18" s="31"/>
    </row>
    <row r="19" spans="1:12" ht="24.95" customHeight="1" x14ac:dyDescent="0.2">
      <c r="A19" s="103" t="s">
        <v>93</v>
      </c>
      <c r="B19" s="104" t="s">
        <v>94</v>
      </c>
      <c r="C19" s="105">
        <v>6800</v>
      </c>
      <c r="D19" s="105">
        <v>6800</v>
      </c>
      <c r="E19" s="105">
        <v>0</v>
      </c>
      <c r="F19" s="102">
        <f t="shared" ref="F19:F20" si="5">SUM(H19-D19)</f>
        <v>-800</v>
      </c>
      <c r="G19" s="60">
        <f>H19/D19*100</f>
        <v>88.235294117647058</v>
      </c>
      <c r="H19" s="64">
        <f>SUM('Leosztott bev'!G14+'Leosztott bev'!O14)</f>
        <v>6000</v>
      </c>
      <c r="L19" s="31"/>
    </row>
    <row r="20" spans="1:12" ht="24.95" customHeight="1" thickBot="1" x14ac:dyDescent="0.25">
      <c r="A20" s="1" t="s">
        <v>71</v>
      </c>
      <c r="B20" s="2" t="s">
        <v>72</v>
      </c>
      <c r="C20" s="102">
        <v>4000</v>
      </c>
      <c r="D20" s="102">
        <v>4000</v>
      </c>
      <c r="E20" s="102">
        <v>3833</v>
      </c>
      <c r="F20" s="102">
        <f t="shared" si="5"/>
        <v>310</v>
      </c>
      <c r="G20" s="60">
        <f>H20/D20*100</f>
        <v>107.74999999999999</v>
      </c>
      <c r="H20" s="93">
        <f>SUM('Leosztott bev'!G15+'Leosztott bev'!O15)</f>
        <v>4310</v>
      </c>
    </row>
    <row r="21" spans="1:12" ht="24.95" customHeight="1" thickBot="1" x14ac:dyDescent="0.3">
      <c r="A21" s="366" t="s">
        <v>73</v>
      </c>
      <c r="B21" s="367"/>
      <c r="C21" s="251">
        <f>SUM(C18:C20)</f>
        <v>13436596</v>
      </c>
      <c r="D21" s="251">
        <f t="shared" ref="D21:F21" si="6">SUM(D18:D20)</f>
        <v>11685364</v>
      </c>
      <c r="E21" s="251">
        <f t="shared" si="6"/>
        <v>7003833</v>
      </c>
      <c r="F21" s="251">
        <f t="shared" si="6"/>
        <v>2195400</v>
      </c>
      <c r="G21" s="252">
        <f>H21/D21*100</f>
        <v>118.78760473357954</v>
      </c>
      <c r="H21" s="5">
        <f>SUM(H18:H20)</f>
        <v>13880764</v>
      </c>
    </row>
    <row r="22" spans="1:12" ht="24.95" hidden="1" customHeight="1" x14ac:dyDescent="0.25">
      <c r="A22" s="380" t="s">
        <v>95</v>
      </c>
      <c r="B22" s="381"/>
      <c r="C22" s="381"/>
      <c r="D22" s="381"/>
      <c r="E22" s="381"/>
      <c r="F22" s="381"/>
      <c r="G22" s="381"/>
      <c r="H22" s="382"/>
    </row>
    <row r="23" spans="1:12" ht="24.95" hidden="1" customHeight="1" x14ac:dyDescent="0.2">
      <c r="A23" s="383" t="s">
        <v>0</v>
      </c>
      <c r="B23" s="384" t="s">
        <v>22</v>
      </c>
      <c r="C23" s="385">
        <v>2022</v>
      </c>
      <c r="D23" s="386"/>
      <c r="E23" s="386"/>
      <c r="F23" s="387"/>
      <c r="G23" s="388"/>
      <c r="H23" s="39">
        <v>2023</v>
      </c>
    </row>
    <row r="24" spans="1:12" ht="24.95" hidden="1" customHeight="1" thickBot="1" x14ac:dyDescent="0.25">
      <c r="A24" s="372"/>
      <c r="B24" s="374"/>
      <c r="C24" s="33" t="s">
        <v>68</v>
      </c>
      <c r="D24" s="115"/>
      <c r="E24" s="115"/>
      <c r="F24" s="115" t="s">
        <v>103</v>
      </c>
      <c r="G24" s="33" t="s">
        <v>67</v>
      </c>
      <c r="H24" s="46" t="s">
        <v>68</v>
      </c>
    </row>
    <row r="25" spans="1:12" ht="24.95" hidden="1" customHeight="1" thickBot="1" x14ac:dyDescent="0.25">
      <c r="A25" s="73" t="s">
        <v>92</v>
      </c>
      <c r="B25" s="99" t="s">
        <v>96</v>
      </c>
      <c r="C25" s="101">
        <v>0</v>
      </c>
      <c r="D25" s="214"/>
      <c r="E25" s="214"/>
      <c r="F25" s="102">
        <v>0</v>
      </c>
      <c r="G25" s="60">
        <v>0</v>
      </c>
      <c r="H25" s="101">
        <v>0</v>
      </c>
    </row>
    <row r="26" spans="1:12" ht="24.95" hidden="1" customHeight="1" thickBot="1" x14ac:dyDescent="0.3">
      <c r="A26" s="366" t="s">
        <v>73</v>
      </c>
      <c r="B26" s="367"/>
      <c r="C26" s="116">
        <f>SUM(C25)</f>
        <v>0</v>
      </c>
      <c r="D26" s="116"/>
      <c r="E26" s="116"/>
      <c r="F26" s="116">
        <f t="shared" ref="F26" si="7">SUM(F25)</f>
        <v>0</v>
      </c>
      <c r="G26" s="59">
        <v>0</v>
      </c>
      <c r="H26" s="5">
        <f>SUM(H25:H25)</f>
        <v>0</v>
      </c>
    </row>
    <row r="27" spans="1:12" ht="24.95" customHeight="1" thickBot="1" x14ac:dyDescent="0.3">
      <c r="A27" s="106"/>
      <c r="B27" s="106"/>
      <c r="C27" s="106"/>
      <c r="D27" s="106"/>
      <c r="E27" s="106"/>
      <c r="F27" s="107"/>
      <c r="G27" s="108"/>
      <c r="H27" s="107"/>
    </row>
    <row r="28" spans="1:12" ht="26.25" customHeight="1" thickBot="1" x14ac:dyDescent="0.3">
      <c r="A28" s="366" t="s">
        <v>74</v>
      </c>
      <c r="B28" s="367"/>
      <c r="C28" s="118">
        <f>SUM(C14,C21,C26)</f>
        <v>103067034</v>
      </c>
      <c r="D28" s="118">
        <f t="shared" ref="D28:F28" si="8">SUM(D14,D21,D26)</f>
        <v>103067034</v>
      </c>
      <c r="E28" s="118">
        <f t="shared" si="8"/>
        <v>74266645</v>
      </c>
      <c r="F28" s="118">
        <f t="shared" si="8"/>
        <v>4387772</v>
      </c>
      <c r="G28" s="109">
        <f>H28/C28*100</f>
        <v>104.2572021622355</v>
      </c>
      <c r="H28" s="5">
        <f>H14+H21+H26</f>
        <v>107454806</v>
      </c>
    </row>
    <row r="30" spans="1:12" x14ac:dyDescent="0.2">
      <c r="H30" s="31">
        <f>SUM(H28-'Kiadások(Hivatal 2023)'!H40)</f>
        <v>0</v>
      </c>
    </row>
  </sheetData>
  <sheetProtection algorithmName="SHA-512" hashValue="7NI39OIFcmWHL88A0O+7Tt8s95Tm5Kv3GU8tMxr7cqpMzXRwMolAwfv6oMCc3hzams5vepmQxKAmprlVHolUkA==" saltValue="0cYrkXIrcXxgqTMcu8TwGw==" spinCount="100000" sheet="1" objects="1" scenarios="1"/>
  <mergeCells count="19">
    <mergeCell ref="A28:B28"/>
    <mergeCell ref="A15:H15"/>
    <mergeCell ref="A16:A17"/>
    <mergeCell ref="B16:B17"/>
    <mergeCell ref="A21:B21"/>
    <mergeCell ref="A22:H22"/>
    <mergeCell ref="A23:A24"/>
    <mergeCell ref="B23:B24"/>
    <mergeCell ref="A26:B26"/>
    <mergeCell ref="C23:G23"/>
    <mergeCell ref="C16:H16"/>
    <mergeCell ref="A2:H2"/>
    <mergeCell ref="A14:B14"/>
    <mergeCell ref="A3:H3"/>
    <mergeCell ref="A5:H5"/>
    <mergeCell ref="A6:A7"/>
    <mergeCell ref="B6:B7"/>
    <mergeCell ref="A9:A12"/>
    <mergeCell ref="C6:H6"/>
  </mergeCells>
  <phoneticPr fontId="0" type="noConversion"/>
  <pageMargins left="0.98425196850393704" right="0.98425196850393704" top="0.98425196850393704" bottom="0.98425196850393704" header="0.51181102362204722" footer="0.51181102362204722"/>
  <pageSetup paperSize="9" scale="69" orientation="portrait" r:id="rId1"/>
  <headerFooter alignWithMargins="0">
    <oddHeader>&amp;LPiliscsévi Közös Önkormányzati Hivatal&amp;RII/2. számú melléklet</oddHead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workbookViewId="0">
      <selection activeCell="U20" sqref="U20"/>
    </sheetView>
  </sheetViews>
  <sheetFormatPr defaultRowHeight="12.75" x14ac:dyDescent="0.2"/>
  <cols>
    <col min="2" max="2" width="29.5703125" customWidth="1"/>
    <col min="3" max="3" width="11.28515625" bestFit="1" customWidth="1"/>
    <col min="4" max="4" width="11.28515625" customWidth="1"/>
    <col min="5" max="5" width="11.42578125" customWidth="1"/>
    <col min="7" max="7" width="11.140625" bestFit="1" customWidth="1"/>
    <col min="10" max="10" width="41.5703125" customWidth="1"/>
    <col min="11" max="12" width="11.28515625" bestFit="1" customWidth="1"/>
    <col min="13" max="13" width="10.5703125" customWidth="1"/>
    <col min="15" max="15" width="10.140625" bestFit="1" customWidth="1"/>
  </cols>
  <sheetData>
    <row r="1" spans="1:15" ht="16.5" thickBot="1" x14ac:dyDescent="0.3">
      <c r="A1" s="368" t="s">
        <v>166</v>
      </c>
      <c r="B1" s="369"/>
      <c r="C1" s="369"/>
      <c r="D1" s="369"/>
      <c r="E1" s="369"/>
      <c r="F1" s="369"/>
      <c r="G1" s="370"/>
      <c r="I1" s="368" t="s">
        <v>167</v>
      </c>
      <c r="J1" s="369"/>
      <c r="K1" s="369"/>
      <c r="L1" s="369"/>
      <c r="M1" s="369"/>
      <c r="N1" s="369"/>
      <c r="O1" s="370"/>
    </row>
    <row r="2" spans="1:15" ht="14.25" x14ac:dyDescent="0.2">
      <c r="A2" s="371" t="s">
        <v>0</v>
      </c>
      <c r="B2" s="373" t="s">
        <v>22</v>
      </c>
      <c r="C2" s="377">
        <v>2022</v>
      </c>
      <c r="D2" s="378"/>
      <c r="E2" s="389"/>
      <c r="F2" s="390"/>
      <c r="G2" s="338">
        <v>2023</v>
      </c>
      <c r="I2" s="371" t="s">
        <v>0</v>
      </c>
      <c r="J2" s="373" t="s">
        <v>22</v>
      </c>
      <c r="K2" s="377">
        <v>2023</v>
      </c>
      <c r="L2" s="378"/>
      <c r="M2" s="378"/>
      <c r="N2" s="378"/>
      <c r="O2" s="379"/>
    </row>
    <row r="3" spans="1:15" ht="13.5" thickBot="1" x14ac:dyDescent="0.25">
      <c r="A3" s="372"/>
      <c r="B3" s="374"/>
      <c r="C3" s="33" t="s">
        <v>68</v>
      </c>
      <c r="D3" s="115" t="s">
        <v>172</v>
      </c>
      <c r="E3" s="115" t="s">
        <v>103</v>
      </c>
      <c r="F3" s="33" t="s">
        <v>67</v>
      </c>
      <c r="G3" s="46" t="s">
        <v>68</v>
      </c>
      <c r="I3" s="372"/>
      <c r="J3" s="374"/>
      <c r="K3" s="33" t="s">
        <v>68</v>
      </c>
      <c r="L3" s="115" t="s">
        <v>171</v>
      </c>
      <c r="M3" s="115" t="s">
        <v>103</v>
      </c>
      <c r="N3" s="33" t="s">
        <v>67</v>
      </c>
      <c r="O3" s="46" t="s">
        <v>170</v>
      </c>
    </row>
    <row r="4" spans="1:15" ht="24" x14ac:dyDescent="0.2">
      <c r="A4" s="1" t="s">
        <v>2</v>
      </c>
      <c r="B4" s="2" t="s">
        <v>23</v>
      </c>
      <c r="C4" s="102">
        <v>1999744</v>
      </c>
      <c r="D4" s="102">
        <v>2133507</v>
      </c>
      <c r="E4" s="3">
        <f>G4-D4</f>
        <v>-1200</v>
      </c>
      <c r="F4" s="60">
        <f>G4/D4*100</f>
        <v>99.943754578728829</v>
      </c>
      <c r="G4" s="38">
        <v>2132307</v>
      </c>
      <c r="I4" s="1" t="s">
        <v>2</v>
      </c>
      <c r="J4" s="2" t="s">
        <v>23</v>
      </c>
      <c r="K4" s="102">
        <v>1924025</v>
      </c>
      <c r="L4" s="102">
        <v>1924025</v>
      </c>
      <c r="M4" s="3">
        <f>O4-L4</f>
        <v>-1200</v>
      </c>
      <c r="N4" s="60">
        <f>O4/K4*100</f>
        <v>99.937630748041215</v>
      </c>
      <c r="O4" s="38">
        <v>1922825</v>
      </c>
    </row>
    <row r="5" spans="1:15" x14ac:dyDescent="0.2">
      <c r="A5" s="375" t="s">
        <v>3</v>
      </c>
      <c r="B5" s="4" t="s">
        <v>24</v>
      </c>
      <c r="C5" s="339">
        <f>SUM(C6:C8)</f>
        <v>55345010</v>
      </c>
      <c r="D5" s="244">
        <f>SUM(D6:D8)</f>
        <v>55345010</v>
      </c>
      <c r="E5" s="340">
        <f>G5-D5</f>
        <v>2194772</v>
      </c>
      <c r="F5" s="60">
        <f t="shared" ref="F5:F8" si="0">G5/D5*100</f>
        <v>103.96561858060916</v>
      </c>
      <c r="G5" s="44">
        <f>SUM(G6:G8)</f>
        <v>57539782</v>
      </c>
      <c r="I5" s="375" t="s">
        <v>3</v>
      </c>
      <c r="J5" s="4" t="s">
        <v>24</v>
      </c>
      <c r="K5" s="339">
        <f>SUM(K6:K8)</f>
        <v>31979128</v>
      </c>
      <c r="L5" s="244">
        <f>SUM(L6:L8)</f>
        <v>31979128</v>
      </c>
      <c r="M5" s="3">
        <f>O5-L5</f>
        <v>0</v>
      </c>
      <c r="N5" s="60">
        <f t="shared" ref="N5:N6" si="1">O5/K5*100</f>
        <v>100</v>
      </c>
      <c r="O5" s="44">
        <f>SUM(O6:O8)</f>
        <v>31979128</v>
      </c>
    </row>
    <row r="6" spans="1:15" x14ac:dyDescent="0.2">
      <c r="A6" s="376"/>
      <c r="B6" s="45" t="s">
        <v>168</v>
      </c>
      <c r="C6" s="305">
        <v>0</v>
      </c>
      <c r="D6" s="267">
        <v>2626848</v>
      </c>
      <c r="E6" s="267"/>
      <c r="F6" s="60">
        <f t="shared" si="0"/>
        <v>100</v>
      </c>
      <c r="G6" s="47">
        <v>2626848</v>
      </c>
      <c r="I6" s="376"/>
      <c r="J6" s="45" t="s">
        <v>134</v>
      </c>
      <c r="K6" s="117">
        <v>30227896</v>
      </c>
      <c r="L6" s="267">
        <v>30227896</v>
      </c>
      <c r="M6" s="3">
        <f t="shared" ref="M6" si="2">O6-K6</f>
        <v>0</v>
      </c>
      <c r="N6" s="60">
        <f t="shared" si="1"/>
        <v>100</v>
      </c>
      <c r="O6" s="47">
        <v>30227896</v>
      </c>
    </row>
    <row r="7" spans="1:15" ht="24" x14ac:dyDescent="0.2">
      <c r="A7" s="376"/>
      <c r="B7" s="45" t="s">
        <v>135</v>
      </c>
      <c r="C7" s="267">
        <v>41919214</v>
      </c>
      <c r="D7" s="267">
        <v>41919214</v>
      </c>
      <c r="E7" s="3">
        <f>G7-C7</f>
        <v>0</v>
      </c>
      <c r="F7" s="60">
        <f t="shared" si="0"/>
        <v>100</v>
      </c>
      <c r="G7" s="47">
        <v>41919214</v>
      </c>
      <c r="I7" s="376"/>
      <c r="J7" s="45" t="s">
        <v>168</v>
      </c>
      <c r="K7" s="117">
        <v>1751232</v>
      </c>
      <c r="L7" s="267">
        <v>1751232</v>
      </c>
      <c r="M7" s="3"/>
      <c r="N7" s="60"/>
      <c r="O7" s="47">
        <v>1751232</v>
      </c>
    </row>
    <row r="8" spans="1:15" ht="13.5" thickBot="1" x14ac:dyDescent="0.25">
      <c r="A8" s="376"/>
      <c r="B8" s="45" t="s">
        <v>97</v>
      </c>
      <c r="C8" s="117">
        <v>13425796</v>
      </c>
      <c r="D8" s="117">
        <v>10798948</v>
      </c>
      <c r="E8" s="340">
        <f>G8-D8</f>
        <v>2194772</v>
      </c>
      <c r="F8" s="60">
        <f t="shared" si="0"/>
        <v>120.3239426655263</v>
      </c>
      <c r="G8" s="47">
        <v>12993720</v>
      </c>
      <c r="H8" s="31"/>
      <c r="I8" s="376"/>
      <c r="J8" s="45"/>
      <c r="K8" s="117"/>
      <c r="L8" s="117"/>
      <c r="M8" s="340"/>
      <c r="N8" s="341"/>
      <c r="O8" s="47"/>
    </row>
    <row r="9" spans="1:15" ht="16.5" thickBot="1" x14ac:dyDescent="0.3">
      <c r="A9" s="366" t="s">
        <v>73</v>
      </c>
      <c r="B9" s="367"/>
      <c r="C9" s="118">
        <f>SUM(C4:C5)</f>
        <v>57344754</v>
      </c>
      <c r="D9" s="118">
        <f>SUM(D4:D5)</f>
        <v>57478517</v>
      </c>
      <c r="E9" s="118">
        <f>SUM(E4:E5)</f>
        <v>2193572</v>
      </c>
      <c r="F9" s="59">
        <f>G9/C9*100</f>
        <v>104.05849678943603</v>
      </c>
      <c r="G9" s="342">
        <f>SUM(G4:G5)</f>
        <v>59672089</v>
      </c>
      <c r="I9" s="366" t="s">
        <v>73</v>
      </c>
      <c r="J9" s="367"/>
      <c r="K9" s="118">
        <f>SUM(K4:K5)</f>
        <v>33903153</v>
      </c>
      <c r="L9" s="118">
        <f>SUM(L4:L5)</f>
        <v>33903153</v>
      </c>
      <c r="M9" s="118">
        <f>SUM(M4:M5)</f>
        <v>-1200</v>
      </c>
      <c r="N9" s="59">
        <f>O9/K9*100</f>
        <v>99.99646050619539</v>
      </c>
      <c r="O9" s="342">
        <f>SUM(O4:O5)</f>
        <v>33901953</v>
      </c>
    </row>
    <row r="10" spans="1:15" ht="16.5" thickBot="1" x14ac:dyDescent="0.3">
      <c r="A10" s="368" t="s">
        <v>91</v>
      </c>
      <c r="B10" s="369"/>
      <c r="C10" s="369"/>
      <c r="D10" s="369"/>
      <c r="E10" s="369"/>
      <c r="F10" s="369"/>
      <c r="G10" s="370"/>
      <c r="I10" s="368" t="s">
        <v>91</v>
      </c>
      <c r="J10" s="369"/>
      <c r="K10" s="369"/>
      <c r="L10" s="369"/>
      <c r="M10" s="369"/>
      <c r="N10" s="369"/>
      <c r="O10" s="370"/>
    </row>
    <row r="11" spans="1:15" ht="14.25" x14ac:dyDescent="0.2">
      <c r="A11" s="371" t="s">
        <v>0</v>
      </c>
      <c r="B11" s="373" t="s">
        <v>22</v>
      </c>
      <c r="C11" s="377">
        <v>2022</v>
      </c>
      <c r="D11" s="378"/>
      <c r="E11" s="389"/>
      <c r="F11" s="390"/>
      <c r="G11" s="338">
        <v>2023</v>
      </c>
      <c r="I11" s="371" t="s">
        <v>0</v>
      </c>
      <c r="J11" s="373" t="s">
        <v>22</v>
      </c>
      <c r="K11" s="377">
        <v>2022</v>
      </c>
      <c r="L11" s="378"/>
      <c r="M11" s="389"/>
      <c r="N11" s="390"/>
      <c r="O11" s="338">
        <v>2023</v>
      </c>
    </row>
    <row r="12" spans="1:15" ht="13.5" thickBot="1" x14ac:dyDescent="0.25">
      <c r="A12" s="372"/>
      <c r="B12" s="374"/>
      <c r="C12" s="33" t="s">
        <v>68</v>
      </c>
      <c r="D12" s="115" t="s">
        <v>172</v>
      </c>
      <c r="E12" s="115" t="s">
        <v>103</v>
      </c>
      <c r="F12" s="33" t="s">
        <v>67</v>
      </c>
      <c r="G12" s="46" t="s">
        <v>68</v>
      </c>
      <c r="I12" s="372"/>
      <c r="J12" s="374"/>
      <c r="K12" s="33" t="s">
        <v>68</v>
      </c>
      <c r="L12" s="115" t="s">
        <v>172</v>
      </c>
      <c r="M12" s="115" t="s">
        <v>103</v>
      </c>
      <c r="N12" s="33" t="s">
        <v>67</v>
      </c>
      <c r="O12" s="46" t="s">
        <v>68</v>
      </c>
    </row>
    <row r="13" spans="1:15" ht="36" x14ac:dyDescent="0.2">
      <c r="A13" s="73" t="s">
        <v>92</v>
      </c>
      <c r="B13" s="99" t="s">
        <v>98</v>
      </c>
      <c r="C13" s="100"/>
      <c r="D13" s="105"/>
      <c r="E13" s="102"/>
      <c r="F13" s="60"/>
      <c r="G13" s="101">
        <v>0</v>
      </c>
      <c r="I13" s="73" t="s">
        <v>92</v>
      </c>
      <c r="J13" s="99" t="s">
        <v>98</v>
      </c>
      <c r="K13" s="100">
        <v>13425796</v>
      </c>
      <c r="L13" s="105">
        <v>11674564</v>
      </c>
      <c r="M13" s="102">
        <f>O13-L13</f>
        <v>2195890</v>
      </c>
      <c r="N13" s="60">
        <f>O13/K13*100</f>
        <v>103.31196749898479</v>
      </c>
      <c r="O13" s="101">
        <v>13870454</v>
      </c>
    </row>
    <row r="14" spans="1:15" ht="24" x14ac:dyDescent="0.2">
      <c r="A14" s="103" t="s">
        <v>93</v>
      </c>
      <c r="B14" s="104" t="s">
        <v>94</v>
      </c>
      <c r="C14" s="105">
        <v>6776</v>
      </c>
      <c r="D14" s="105">
        <v>4080</v>
      </c>
      <c r="E14" s="102">
        <f t="shared" ref="E14:E15" si="3">G14-C14</f>
        <v>-3176</v>
      </c>
      <c r="F14" s="60">
        <f>G14/D14*100</f>
        <v>88.235294117647058</v>
      </c>
      <c r="G14" s="64">
        <v>3600</v>
      </c>
      <c r="I14" s="103" t="s">
        <v>93</v>
      </c>
      <c r="J14" s="104" t="s">
        <v>94</v>
      </c>
      <c r="K14" s="105">
        <v>2720</v>
      </c>
      <c r="L14" s="105">
        <v>2720</v>
      </c>
      <c r="M14" s="102">
        <f>O14-L14</f>
        <v>-320</v>
      </c>
      <c r="N14" s="60">
        <f t="shared" ref="N14:N15" si="4">O14/K14*100</f>
        <v>88.235294117647058</v>
      </c>
      <c r="O14" s="64">
        <v>2400</v>
      </c>
    </row>
    <row r="15" spans="1:15" ht="13.5" thickBot="1" x14ac:dyDescent="0.25">
      <c r="A15" s="1" t="s">
        <v>71</v>
      </c>
      <c r="B15" s="2" t="s">
        <v>72</v>
      </c>
      <c r="C15" s="102">
        <v>4000</v>
      </c>
      <c r="D15" s="102">
        <v>2400</v>
      </c>
      <c r="E15" s="102">
        <f t="shared" si="3"/>
        <v>-1600</v>
      </c>
      <c r="F15" s="60">
        <f>G15/D15*100</f>
        <v>100</v>
      </c>
      <c r="G15" s="93">
        <f>(4000*0.6)</f>
        <v>2400</v>
      </c>
      <c r="I15" s="1" t="s">
        <v>71</v>
      </c>
      <c r="J15" s="2" t="s">
        <v>72</v>
      </c>
      <c r="K15" s="102">
        <v>1600</v>
      </c>
      <c r="L15" s="102">
        <v>1600</v>
      </c>
      <c r="M15" s="102">
        <f>O15-L15</f>
        <v>310</v>
      </c>
      <c r="N15" s="60">
        <f t="shared" si="4"/>
        <v>119.37500000000001</v>
      </c>
      <c r="O15" s="93">
        <v>1910</v>
      </c>
    </row>
    <row r="16" spans="1:15" ht="16.5" thickBot="1" x14ac:dyDescent="0.3">
      <c r="A16" s="391" t="s">
        <v>73</v>
      </c>
      <c r="B16" s="392"/>
      <c r="C16" s="343">
        <f>SUM(C13:C15)</f>
        <v>10776</v>
      </c>
      <c r="D16" s="343">
        <f>SUM(D14:D15)</f>
        <v>6480</v>
      </c>
      <c r="E16" s="343">
        <f>SUM(E13:E15)</f>
        <v>-4776</v>
      </c>
      <c r="F16" s="59">
        <f>G16/C16*100</f>
        <v>55.679287305122493</v>
      </c>
      <c r="G16" s="342">
        <f>SUM(G13:G15)</f>
        <v>6000</v>
      </c>
      <c r="I16" s="366" t="s">
        <v>73</v>
      </c>
      <c r="J16" s="367"/>
      <c r="K16" s="343">
        <f>SUM(K13:K15)</f>
        <v>13430116</v>
      </c>
      <c r="L16" s="343">
        <f>SUM(L13:L15)</f>
        <v>11678884</v>
      </c>
      <c r="M16" s="343">
        <f>SUM(M13:M15)</f>
        <v>2195880</v>
      </c>
      <c r="N16" s="59">
        <f>O16/K16*100</f>
        <v>103.31082769501023</v>
      </c>
      <c r="O16" s="342">
        <f>SUM(O13:O15)</f>
        <v>13874764</v>
      </c>
    </row>
    <row r="17" spans="1:15" ht="15.75" x14ac:dyDescent="0.25">
      <c r="A17" s="393" t="s">
        <v>95</v>
      </c>
      <c r="B17" s="394"/>
      <c r="C17" s="394"/>
      <c r="D17" s="394"/>
      <c r="E17" s="394"/>
      <c r="F17" s="394"/>
      <c r="G17" s="395"/>
    </row>
    <row r="18" spans="1:15" ht="14.25" x14ac:dyDescent="0.2">
      <c r="A18" s="396" t="s">
        <v>0</v>
      </c>
      <c r="B18" s="398" t="s">
        <v>22</v>
      </c>
      <c r="C18" s="385">
        <v>2022</v>
      </c>
      <c r="D18" s="386"/>
      <c r="E18" s="386"/>
      <c r="F18" s="400"/>
      <c r="G18" s="39">
        <v>2023</v>
      </c>
    </row>
    <row r="19" spans="1:15" ht="13.5" thickBot="1" x14ac:dyDescent="0.25">
      <c r="A19" s="397"/>
      <c r="B19" s="399"/>
      <c r="C19" s="33" t="s">
        <v>68</v>
      </c>
      <c r="D19" s="115" t="s">
        <v>172</v>
      </c>
      <c r="E19" s="115" t="s">
        <v>103</v>
      </c>
      <c r="F19" s="33" t="s">
        <v>67</v>
      </c>
      <c r="G19" s="46" t="s">
        <v>68</v>
      </c>
    </row>
    <row r="20" spans="1:15" ht="24.75" thickBot="1" x14ac:dyDescent="0.25">
      <c r="A20" s="73" t="s">
        <v>92</v>
      </c>
      <c r="B20" s="99" t="s">
        <v>96</v>
      </c>
      <c r="C20" s="101">
        <v>0</v>
      </c>
      <c r="D20" s="214"/>
      <c r="E20" s="102">
        <v>0</v>
      </c>
      <c r="F20" s="60">
        <v>0</v>
      </c>
      <c r="G20" s="101">
        <v>0</v>
      </c>
    </row>
    <row r="21" spans="1:15" ht="16.5" thickBot="1" x14ac:dyDescent="0.3">
      <c r="A21" s="391" t="s">
        <v>73</v>
      </c>
      <c r="B21" s="392"/>
      <c r="C21" s="116">
        <f>SUM(C20)</f>
        <v>0</v>
      </c>
      <c r="D21" s="116"/>
      <c r="E21" s="116">
        <f t="shared" ref="E21" si="5">SUM(E20)</f>
        <v>0</v>
      </c>
      <c r="F21" s="59">
        <v>0</v>
      </c>
      <c r="G21" s="342">
        <f>SUM(G20:G20)</f>
        <v>0</v>
      </c>
    </row>
    <row r="22" spans="1:15" ht="13.5" thickBot="1" x14ac:dyDescent="0.25"/>
    <row r="23" spans="1:15" ht="16.5" thickBot="1" x14ac:dyDescent="0.3">
      <c r="A23" s="366" t="s">
        <v>74</v>
      </c>
      <c r="B23" s="367"/>
      <c r="C23" s="118">
        <f>SUM(C9,C16,C21)</f>
        <v>57355530</v>
      </c>
      <c r="D23" s="118"/>
      <c r="E23" s="118">
        <f>SUM(E9,E16,E21)</f>
        <v>2188796</v>
      </c>
      <c r="F23" s="344">
        <f>G23/C23*100</f>
        <v>104.04940726726785</v>
      </c>
      <c r="G23" s="342">
        <f>G9+G16+G21</f>
        <v>59678089</v>
      </c>
      <c r="I23" s="366" t="s">
        <v>74</v>
      </c>
      <c r="J23" s="367"/>
      <c r="K23" s="118">
        <f>SUM(K9,K16,K21)</f>
        <v>47333269</v>
      </c>
      <c r="L23" s="118"/>
      <c r="M23" s="118">
        <f>SUM(M9,M16,M21)</f>
        <v>2194680</v>
      </c>
      <c r="N23" s="344">
        <f>O23/K23*100</f>
        <v>100.93686324517329</v>
      </c>
      <c r="O23" s="342">
        <f>O9+O16+O21</f>
        <v>47776717</v>
      </c>
    </row>
    <row r="25" spans="1:15" x14ac:dyDescent="0.2">
      <c r="G25" s="31">
        <f>SUM(G23-Leosztott!G73)</f>
        <v>0</v>
      </c>
      <c r="O25" s="31">
        <f>SUM(O23-Leosztott!O73)</f>
        <v>0</v>
      </c>
    </row>
    <row r="26" spans="1:15" x14ac:dyDescent="0.2">
      <c r="G26" s="31"/>
    </row>
    <row r="27" spans="1:15" ht="13.5" thickBot="1" x14ac:dyDescent="0.25"/>
    <row r="28" spans="1:15" ht="16.5" thickBot="1" x14ac:dyDescent="0.3">
      <c r="A28" s="366" t="s">
        <v>169</v>
      </c>
      <c r="B28" s="367"/>
      <c r="C28" s="118">
        <f>SUM(+K23)</f>
        <v>47333269</v>
      </c>
      <c r="D28" s="118"/>
      <c r="E28" s="118">
        <f>SUM(E23+M23)</f>
        <v>4383476</v>
      </c>
      <c r="F28" s="344">
        <f>G28/C28*100</f>
        <v>227.01750432660802</v>
      </c>
      <c r="G28" s="342">
        <f>SUM(G23+O23)</f>
        <v>107454806</v>
      </c>
    </row>
    <row r="30" spans="1:15" x14ac:dyDescent="0.2">
      <c r="F30" s="31"/>
    </row>
  </sheetData>
  <mergeCells count="30">
    <mergeCell ref="A21:B21"/>
    <mergeCell ref="A23:B23"/>
    <mergeCell ref="I23:J23"/>
    <mergeCell ref="A28:B28"/>
    <mergeCell ref="A16:B16"/>
    <mergeCell ref="I16:J16"/>
    <mergeCell ref="A17:G17"/>
    <mergeCell ref="A18:A19"/>
    <mergeCell ref="B18:B19"/>
    <mergeCell ref="C18:F18"/>
    <mergeCell ref="K11:N11"/>
    <mergeCell ref="A5:A8"/>
    <mergeCell ref="I5:I8"/>
    <mergeCell ref="A9:B9"/>
    <mergeCell ref="I9:J9"/>
    <mergeCell ref="A10:G10"/>
    <mergeCell ref="I10:O10"/>
    <mergeCell ref="A11:A12"/>
    <mergeCell ref="B11:B12"/>
    <mergeCell ref="C11:F11"/>
    <mergeCell ref="I11:I12"/>
    <mergeCell ref="J11:J12"/>
    <mergeCell ref="A1:G1"/>
    <mergeCell ref="I1:O1"/>
    <mergeCell ref="A2:A3"/>
    <mergeCell ref="B2:B3"/>
    <mergeCell ref="C2:F2"/>
    <mergeCell ref="I2:I3"/>
    <mergeCell ref="J2:J3"/>
    <mergeCell ref="K2:O2"/>
  </mergeCells>
  <pageMargins left="0.7" right="0.7" top="0.75" bottom="0.75" header="0.3" footer="0.3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Normal="100" workbookViewId="0">
      <selection activeCell="M36" sqref="M36"/>
    </sheetView>
  </sheetViews>
  <sheetFormatPr defaultRowHeight="12.75" x14ac:dyDescent="0.2"/>
  <cols>
    <col min="1" max="1" width="12.28515625" customWidth="1"/>
    <col min="2" max="2" width="38.140625" customWidth="1"/>
    <col min="3" max="5" width="16.42578125" customWidth="1"/>
    <col min="6" max="6" width="13.140625" customWidth="1"/>
    <col min="7" max="7" width="6.7109375" customWidth="1"/>
    <col min="8" max="8" width="17" customWidth="1"/>
    <col min="9" max="10" width="10.140625" bestFit="1" customWidth="1"/>
  </cols>
  <sheetData>
    <row r="1" spans="1:10" x14ac:dyDescent="0.2">
      <c r="G1" s="13"/>
      <c r="H1" s="13"/>
    </row>
    <row r="2" spans="1:10" ht="15.75" x14ac:dyDescent="0.25">
      <c r="A2" s="358" t="s">
        <v>143</v>
      </c>
      <c r="B2" s="358"/>
      <c r="C2" s="358"/>
      <c r="D2" s="358"/>
      <c r="E2" s="358"/>
      <c r="F2" s="358"/>
      <c r="G2" s="358"/>
      <c r="H2" s="358"/>
    </row>
    <row r="3" spans="1:10" ht="15.75" x14ac:dyDescent="0.25">
      <c r="A3" s="358" t="s">
        <v>76</v>
      </c>
      <c r="B3" s="358"/>
      <c r="C3" s="358"/>
      <c r="D3" s="358"/>
      <c r="E3" s="358"/>
      <c r="F3" s="358"/>
      <c r="G3" s="358"/>
      <c r="H3" s="358"/>
    </row>
    <row r="4" spans="1:10" ht="13.5" thickBot="1" x14ac:dyDescent="0.25">
      <c r="H4" s="19" t="s">
        <v>58</v>
      </c>
    </row>
    <row r="5" spans="1:10" ht="21.75" customHeight="1" thickBot="1" x14ac:dyDescent="0.3">
      <c r="A5" s="406" t="s">
        <v>46</v>
      </c>
      <c r="B5" s="407"/>
      <c r="C5" s="407"/>
      <c r="D5" s="407"/>
      <c r="E5" s="407"/>
      <c r="F5" s="407"/>
      <c r="G5" s="407"/>
      <c r="H5" s="408"/>
    </row>
    <row r="6" spans="1:10" x14ac:dyDescent="0.2">
      <c r="A6" s="409" t="s">
        <v>0</v>
      </c>
      <c r="B6" s="411" t="s">
        <v>22</v>
      </c>
      <c r="C6" s="413">
        <v>2023</v>
      </c>
      <c r="D6" s="414"/>
      <c r="E6" s="414"/>
      <c r="F6" s="414"/>
      <c r="G6" s="414"/>
      <c r="H6" s="415"/>
    </row>
    <row r="7" spans="1:10" ht="30.75" customHeight="1" thickBot="1" x14ac:dyDescent="0.25">
      <c r="A7" s="410"/>
      <c r="B7" s="412"/>
      <c r="C7" s="135" t="s">
        <v>68</v>
      </c>
      <c r="D7" s="135" t="s">
        <v>138</v>
      </c>
      <c r="E7" s="135" t="s">
        <v>145</v>
      </c>
      <c r="F7" s="135" t="s">
        <v>103</v>
      </c>
      <c r="G7" s="135" t="s">
        <v>67</v>
      </c>
      <c r="H7" s="25" t="s">
        <v>142</v>
      </c>
    </row>
    <row r="8" spans="1:10" ht="22.5" customHeight="1" x14ac:dyDescent="0.2">
      <c r="A8" s="8" t="s">
        <v>4</v>
      </c>
      <c r="B8" s="63" t="s">
        <v>25</v>
      </c>
      <c r="C8" s="100">
        <f>'Kiadások COFOG szerint'!C9</f>
        <v>75700000</v>
      </c>
      <c r="D8" s="100">
        <v>75700000</v>
      </c>
      <c r="E8" s="100">
        <f>SUM('Kiadások COFOG szerint'!E9)</f>
        <v>55412288</v>
      </c>
      <c r="F8" s="100">
        <f>'Kiadások COFOG szerint'!F9</f>
        <v>2100000</v>
      </c>
      <c r="G8" s="65">
        <f t="shared" ref="G8:G10" si="0">SUM(H8/D8*100)</f>
        <v>102.77410832232496</v>
      </c>
      <c r="H8" s="237">
        <f>'Kiadások COFOG szerint'!H9</f>
        <v>77800000</v>
      </c>
      <c r="I8" s="23"/>
      <c r="J8" s="31"/>
    </row>
    <row r="9" spans="1:10" ht="22.5" customHeight="1" x14ac:dyDescent="0.2">
      <c r="A9" s="6" t="s">
        <v>5</v>
      </c>
      <c r="B9" s="66" t="s">
        <v>26</v>
      </c>
      <c r="C9" s="105">
        <f>'Kiadások COFOG szerint'!C10</f>
        <v>0</v>
      </c>
      <c r="D9" s="69">
        <v>0</v>
      </c>
      <c r="E9" s="69">
        <v>0</v>
      </c>
      <c r="F9" s="69">
        <f t="shared" ref="F9:F18" si="1">H9-C9</f>
        <v>0</v>
      </c>
      <c r="G9" s="65">
        <v>0</v>
      </c>
      <c r="H9" s="67">
        <f>'Kiadások COFOG szerint'!H10</f>
        <v>0</v>
      </c>
      <c r="I9" s="23"/>
      <c r="J9" s="31"/>
    </row>
    <row r="10" spans="1:10" ht="24.75" customHeight="1" x14ac:dyDescent="0.2">
      <c r="A10" s="6" t="s">
        <v>6</v>
      </c>
      <c r="B10" s="66" t="s">
        <v>27</v>
      </c>
      <c r="C10" s="105">
        <f>'Kiadások COFOG szerint'!C11</f>
        <v>500000</v>
      </c>
      <c r="D10" s="69">
        <v>500000</v>
      </c>
      <c r="E10" s="69">
        <f>SUM('Kiadások COFOG szerint'!E11)</f>
        <v>369300</v>
      </c>
      <c r="F10" s="69">
        <f t="shared" si="1"/>
        <v>-130700</v>
      </c>
      <c r="G10" s="65">
        <f t="shared" si="0"/>
        <v>73.86</v>
      </c>
      <c r="H10" s="67">
        <f>'Kiadások COFOG szerint'!H11</f>
        <v>369300</v>
      </c>
      <c r="I10" s="23"/>
      <c r="J10" s="31"/>
    </row>
    <row r="11" spans="1:10" ht="22.5" customHeight="1" x14ac:dyDescent="0.2">
      <c r="A11" s="6" t="s">
        <v>7</v>
      </c>
      <c r="B11" s="66" t="s">
        <v>28</v>
      </c>
      <c r="C11" s="105">
        <f>'Kiadások COFOG szerint'!C12</f>
        <v>1280000</v>
      </c>
      <c r="D11" s="69">
        <v>1280000</v>
      </c>
      <c r="E11" s="69">
        <f>SUM('Kiadások COFOG szerint'!E12)</f>
        <v>927700</v>
      </c>
      <c r="F11" s="69">
        <f t="shared" si="1"/>
        <v>100000</v>
      </c>
      <c r="G11" s="65">
        <f>SUM(H11/D11*100)</f>
        <v>107.8125</v>
      </c>
      <c r="H11" s="67">
        <f>'Kiadások COFOG szerint'!H12</f>
        <v>1380000</v>
      </c>
      <c r="J11" s="31"/>
    </row>
    <row r="12" spans="1:10" ht="22.5" customHeight="1" x14ac:dyDescent="0.2">
      <c r="A12" s="6" t="s">
        <v>78</v>
      </c>
      <c r="B12" s="66" t="s">
        <v>79</v>
      </c>
      <c r="C12" s="105">
        <f>'Kiadások COFOG szerint'!C13</f>
        <v>2600000</v>
      </c>
      <c r="D12" s="69">
        <v>2600000</v>
      </c>
      <c r="E12" s="69">
        <f>SUM('Kiadások COFOG szerint'!E13)</f>
        <v>3722072</v>
      </c>
      <c r="F12" s="69">
        <f t="shared" si="1"/>
        <v>3072072</v>
      </c>
      <c r="G12" s="65">
        <f t="shared" ref="G12:G17" si="2">SUM(H12/D12*100)</f>
        <v>218.15661538461538</v>
      </c>
      <c r="H12" s="67">
        <f>'Kiadások COFOG szerint'!H13</f>
        <v>5672072</v>
      </c>
      <c r="J12" s="31"/>
    </row>
    <row r="13" spans="1:10" ht="22.5" customHeight="1" x14ac:dyDescent="0.2">
      <c r="A13" s="6" t="s">
        <v>8</v>
      </c>
      <c r="B13" s="66" t="s">
        <v>29</v>
      </c>
      <c r="C13" s="105">
        <f>'Kiadások COFOG szerint'!C14</f>
        <v>200000</v>
      </c>
      <c r="D13" s="69">
        <v>200000</v>
      </c>
      <c r="E13" s="69">
        <f>SUM('Kiadások COFOG szerint'!E14)</f>
        <v>194178</v>
      </c>
      <c r="F13" s="69">
        <f t="shared" si="1"/>
        <v>180000</v>
      </c>
      <c r="G13" s="65">
        <f t="shared" si="2"/>
        <v>190</v>
      </c>
      <c r="H13" s="67">
        <f>'Kiadások COFOG szerint'!H14</f>
        <v>380000</v>
      </c>
      <c r="I13" s="23"/>
      <c r="J13" s="31"/>
    </row>
    <row r="14" spans="1:10" ht="22.5" customHeight="1" x14ac:dyDescent="0.2">
      <c r="A14" s="6" t="s">
        <v>9</v>
      </c>
      <c r="B14" s="66" t="s">
        <v>30</v>
      </c>
      <c r="C14" s="105">
        <f>'Kiadások COFOG szerint'!C15</f>
        <v>0</v>
      </c>
      <c r="D14" s="69">
        <v>0</v>
      </c>
      <c r="E14" s="69">
        <f>SUM('Kiadások COFOG szerint'!E15)</f>
        <v>0</v>
      </c>
      <c r="F14" s="69">
        <f t="shared" si="1"/>
        <v>0</v>
      </c>
      <c r="G14" s="65">
        <v>0</v>
      </c>
      <c r="H14" s="67">
        <f>'Kiadások COFOG szerint'!H15</f>
        <v>0</v>
      </c>
      <c r="I14" s="23"/>
      <c r="J14" s="31"/>
    </row>
    <row r="15" spans="1:10" ht="22.5" customHeight="1" x14ac:dyDescent="0.2">
      <c r="A15" s="6" t="s">
        <v>80</v>
      </c>
      <c r="B15" s="66" t="s">
        <v>81</v>
      </c>
      <c r="C15" s="105">
        <f>'Kiadások COFOG szerint'!C16</f>
        <v>0</v>
      </c>
      <c r="D15" s="69">
        <v>0</v>
      </c>
      <c r="E15" s="69">
        <f>SUM('Kiadások COFOG szerint'!E16)</f>
        <v>0</v>
      </c>
      <c r="F15" s="69">
        <f t="shared" si="1"/>
        <v>0</v>
      </c>
      <c r="G15" s="65">
        <v>0</v>
      </c>
      <c r="H15" s="67">
        <f>'Kiadások COFOG szerint'!H16</f>
        <v>0</v>
      </c>
      <c r="I15" s="23"/>
      <c r="J15" s="31"/>
    </row>
    <row r="16" spans="1:10" ht="22.5" customHeight="1" x14ac:dyDescent="0.2">
      <c r="A16" s="6" t="s">
        <v>10</v>
      </c>
      <c r="B16" s="66" t="s">
        <v>31</v>
      </c>
      <c r="C16" s="239">
        <f>'Kiadások COFOG szerint'!C17+'Kiadások COFOG szerint'!C45</f>
        <v>4669800</v>
      </c>
      <c r="D16" s="239">
        <v>4669800</v>
      </c>
      <c r="E16" s="239">
        <f>SUM('Kiadások COFOG szerint'!E17+'Kiadások COFOG szerint'!E45)</f>
        <v>3431295</v>
      </c>
      <c r="F16" s="239">
        <f>'Kiadások COFOG szerint'!F17+'Kiadások COFOG szerint'!F45</f>
        <v>-936000</v>
      </c>
      <c r="G16" s="65">
        <f t="shared" si="2"/>
        <v>79.956315045612243</v>
      </c>
      <c r="H16" s="238">
        <f>'Kiadások COFOG szerint'!H17+'Kiadások COFOG szerint'!H45</f>
        <v>3733800</v>
      </c>
      <c r="J16" s="31"/>
    </row>
    <row r="17" spans="1:12" ht="22.5" customHeight="1" x14ac:dyDescent="0.2">
      <c r="A17" s="7" t="s">
        <v>11</v>
      </c>
      <c r="B17" s="181" t="s">
        <v>32</v>
      </c>
      <c r="C17" s="239">
        <f>SUM('Kiadások COFOG szerint'!C44)</f>
        <v>1117670</v>
      </c>
      <c r="D17" s="239">
        <v>1117670</v>
      </c>
      <c r="E17" s="239">
        <f>SUM('Kiadások COFOG szerint'!E18+'Kiadások COFOG szerint'!E44)</f>
        <v>1117670</v>
      </c>
      <c r="F17" s="239">
        <f>SUM('Kiadások COFOG szerint'!F44)</f>
        <v>0</v>
      </c>
      <c r="G17" s="65">
        <f t="shared" si="2"/>
        <v>100</v>
      </c>
      <c r="H17" s="238">
        <f>SUM('Kiadások COFOG szerint'!H44)</f>
        <v>1117670</v>
      </c>
      <c r="J17" s="31"/>
    </row>
    <row r="18" spans="1:12" ht="22.5" customHeight="1" thickBot="1" x14ac:dyDescent="0.25">
      <c r="A18" s="7" t="s">
        <v>56</v>
      </c>
      <c r="B18" s="68" t="s">
        <v>57</v>
      </c>
      <c r="C18" s="240">
        <f>'Kiadások COFOG szerint'!C19</f>
        <v>0</v>
      </c>
      <c r="D18" s="268">
        <v>0</v>
      </c>
      <c r="E18" s="268">
        <f>SUM('Kiadások COFOG szerint'!E19)</f>
        <v>0</v>
      </c>
      <c r="F18" s="69">
        <f t="shared" si="1"/>
        <v>0</v>
      </c>
      <c r="G18" s="65">
        <v>0</v>
      </c>
      <c r="H18" s="67">
        <v>0</v>
      </c>
      <c r="J18" s="31"/>
    </row>
    <row r="19" spans="1:12" ht="24" customHeight="1" thickBot="1" x14ac:dyDescent="0.25">
      <c r="A19" s="401" t="s">
        <v>43</v>
      </c>
      <c r="B19" s="402"/>
      <c r="C19" s="119">
        <f>SUM(C8:C18)</f>
        <v>86067470</v>
      </c>
      <c r="D19" s="119">
        <f t="shared" ref="D19:E19" si="3">SUM(D8:D18)</f>
        <v>86067470</v>
      </c>
      <c r="E19" s="119">
        <f t="shared" si="3"/>
        <v>65174503</v>
      </c>
      <c r="F19" s="119">
        <f>SUM(F8:F18)</f>
        <v>4385372</v>
      </c>
      <c r="G19" s="62">
        <f>H19/D19*100</f>
        <v>105.09527234854237</v>
      </c>
      <c r="H19" s="24">
        <f>SUM(H8:H18)</f>
        <v>90452842</v>
      </c>
      <c r="J19" s="31"/>
    </row>
    <row r="20" spans="1:12" ht="20.100000000000001" customHeight="1" x14ac:dyDescent="0.2">
      <c r="A20" s="8" t="s">
        <v>12</v>
      </c>
      <c r="B20" s="63" t="s">
        <v>33</v>
      </c>
      <c r="C20" s="100">
        <f>SUM('Kiadások COFOG szerint'!C21+'Kiadások COFOG szerint'!C47)</f>
        <v>11481949</v>
      </c>
      <c r="D20" s="100">
        <v>11481949</v>
      </c>
      <c r="E20" s="100">
        <f>SUM('Kiadások COFOG szerint'!E21+'Kiadások COFOG szerint'!E47)</f>
        <v>8254446</v>
      </c>
      <c r="F20" s="100">
        <f>SUM('Kiadások COFOG szerint'!F21+'Kiadások COFOG szerint'!F47)</f>
        <v>520000</v>
      </c>
      <c r="G20" s="262">
        <f>SUM(H20/D20*100)</f>
        <v>104.52884784630206</v>
      </c>
      <c r="H20" s="237">
        <f>SUM('Kiadások COFOG szerint'!H21+'Kiadások COFOG szerint'!H47)</f>
        <v>12001949</v>
      </c>
      <c r="I20" s="23"/>
      <c r="J20" s="31"/>
    </row>
    <row r="21" spans="1:12" ht="23.25" customHeight="1" thickBot="1" x14ac:dyDescent="0.25">
      <c r="A21" s="7" t="s">
        <v>13</v>
      </c>
      <c r="B21" s="68" t="s">
        <v>34</v>
      </c>
      <c r="C21" s="240">
        <f>SUM('Kiadások COFOG szerint'!C22)</f>
        <v>390000</v>
      </c>
      <c r="D21" s="240">
        <v>390000</v>
      </c>
      <c r="E21" s="240">
        <f>SUM('Kiadások COFOG szerint'!E22)</f>
        <v>559203</v>
      </c>
      <c r="F21" s="240">
        <f>SUM('Kiadások COFOG szerint'!F22)</f>
        <v>480000</v>
      </c>
      <c r="G21" s="345">
        <f>SUM(H21/D21*100)</f>
        <v>223.07692307692309</v>
      </c>
      <c r="H21" s="237">
        <f>SUM('Kiadások COFOG szerint'!H22)</f>
        <v>870000</v>
      </c>
      <c r="I21" s="23"/>
      <c r="J21" s="31"/>
    </row>
    <row r="22" spans="1:12" ht="24.95" customHeight="1" thickBot="1" x14ac:dyDescent="0.25">
      <c r="A22" s="403" t="s">
        <v>44</v>
      </c>
      <c r="B22" s="402"/>
      <c r="C22" s="119">
        <f>SUM(C20:C21)</f>
        <v>11871949</v>
      </c>
      <c r="D22" s="119">
        <f t="shared" ref="D22:E22" si="4">SUM(D20:D21)</f>
        <v>11871949</v>
      </c>
      <c r="E22" s="119">
        <f t="shared" si="4"/>
        <v>8813649</v>
      </c>
      <c r="F22" s="119">
        <f t="shared" ref="F22" si="5">SUM(F20:F21)</f>
        <v>1000000</v>
      </c>
      <c r="G22" s="62">
        <f>H22/D22*100</f>
        <v>108.42321677763272</v>
      </c>
      <c r="H22" s="24">
        <f>SUM(H20:H21)</f>
        <v>12871949</v>
      </c>
      <c r="J22" s="31"/>
    </row>
    <row r="23" spans="1:12" ht="20.100000000000001" customHeight="1" x14ac:dyDescent="0.2">
      <c r="A23" s="6" t="s">
        <v>14</v>
      </c>
      <c r="B23" s="92" t="s">
        <v>35</v>
      </c>
      <c r="C23" s="243">
        <f>'Kiadások COFOG szerint'!C24</f>
        <v>100000</v>
      </c>
      <c r="D23" s="243">
        <v>100000</v>
      </c>
      <c r="E23" s="243">
        <f>SUM('Kiadások COFOG szerint'!E24)</f>
        <v>15000</v>
      </c>
      <c r="F23" s="243">
        <f>'Kiadások COFOG szerint'!F24</f>
        <v>0</v>
      </c>
      <c r="G23" s="247">
        <f>'Kiadások COFOG szerint'!G24</f>
        <v>100</v>
      </c>
      <c r="H23" s="241">
        <f>'Kiadások COFOG szerint'!H24</f>
        <v>100000</v>
      </c>
      <c r="I23" s="23"/>
      <c r="J23" s="31"/>
    </row>
    <row r="24" spans="1:12" ht="20.100000000000001" customHeight="1" x14ac:dyDescent="0.2">
      <c r="A24" s="6" t="s">
        <v>15</v>
      </c>
      <c r="B24" s="94" t="s">
        <v>36</v>
      </c>
      <c r="C24" s="244">
        <f>'Kiadások COFOG szerint'!C25</f>
        <v>100000</v>
      </c>
      <c r="D24" s="244">
        <v>100000</v>
      </c>
      <c r="E24" s="244">
        <f>SUM('Kiadások COFOG szerint'!E25)</f>
        <v>0</v>
      </c>
      <c r="F24" s="244">
        <f>'Kiadások COFOG szerint'!F25</f>
        <v>0</v>
      </c>
      <c r="G24" s="95">
        <f>'Kiadások COFOG szerint'!G25</f>
        <v>100</v>
      </c>
      <c r="H24" s="242">
        <f>'Kiadások COFOG szerint'!H25</f>
        <v>100000</v>
      </c>
      <c r="I24" s="23"/>
      <c r="J24" s="31"/>
    </row>
    <row r="25" spans="1:12" ht="20.100000000000001" customHeight="1" x14ac:dyDescent="0.2">
      <c r="A25" s="6" t="s">
        <v>83</v>
      </c>
      <c r="B25" s="66" t="s">
        <v>84</v>
      </c>
      <c r="C25" s="239">
        <f>'Kiadások COFOG szerint'!C26</f>
        <v>270916</v>
      </c>
      <c r="D25" s="239">
        <v>270916</v>
      </c>
      <c r="E25" s="244">
        <f>SUM('Kiadások COFOG szerint'!E26)</f>
        <v>172662</v>
      </c>
      <c r="F25" s="239">
        <f>'Kiadások COFOG szerint'!F26</f>
        <v>0</v>
      </c>
      <c r="G25" s="90">
        <f>'Kiadások COFOG szerint'!G26</f>
        <v>100</v>
      </c>
      <c r="H25" s="238">
        <f>'Kiadások COFOG szerint'!H26</f>
        <v>270916</v>
      </c>
      <c r="I25" s="23"/>
      <c r="J25" s="31"/>
    </row>
    <row r="26" spans="1:12" ht="20.100000000000001" customHeight="1" x14ac:dyDescent="0.2">
      <c r="A26" s="6" t="s">
        <v>90</v>
      </c>
      <c r="B26" s="91" t="s">
        <v>85</v>
      </c>
      <c r="C26" s="239">
        <f>'Kiadások COFOG szerint'!C27</f>
        <v>40000</v>
      </c>
      <c r="D26" s="239">
        <v>40000</v>
      </c>
      <c r="E26" s="244">
        <f>SUM('Kiadások COFOG szerint'!E27)</f>
        <v>22842</v>
      </c>
      <c r="F26" s="239">
        <f>'Kiadások COFOG szerint'!F27</f>
        <v>0</v>
      </c>
      <c r="G26" s="90">
        <f>'Kiadások COFOG szerint'!G27</f>
        <v>100</v>
      </c>
      <c r="H26" s="238">
        <f>'Kiadások COFOG szerint'!H27</f>
        <v>40000</v>
      </c>
      <c r="I26" s="23"/>
      <c r="J26" s="31"/>
    </row>
    <row r="27" spans="1:12" ht="20.100000000000001" customHeight="1" x14ac:dyDescent="0.2">
      <c r="A27" s="6" t="s">
        <v>17</v>
      </c>
      <c r="B27" s="91" t="s">
        <v>37</v>
      </c>
      <c r="C27" s="239">
        <f>'Kiadások COFOG szerint'!C28</f>
        <v>1860000</v>
      </c>
      <c r="D27" s="239">
        <v>1860000</v>
      </c>
      <c r="E27" s="244">
        <f>SUM('Kiadások COFOG szerint'!E28)</f>
        <v>466480</v>
      </c>
      <c r="F27" s="239">
        <f>'Kiadások COFOG szerint'!F28</f>
        <v>-1000000</v>
      </c>
      <c r="G27" s="90">
        <f>'Kiadások COFOG szerint'!G28</f>
        <v>46.236559139784944</v>
      </c>
      <c r="H27" s="238">
        <f>'Kiadások COFOG szerint'!H28</f>
        <v>860000</v>
      </c>
      <c r="I27" s="23"/>
      <c r="J27" s="31"/>
    </row>
    <row r="28" spans="1:12" ht="20.100000000000001" customHeight="1" x14ac:dyDescent="0.2">
      <c r="A28" s="97" t="s">
        <v>18</v>
      </c>
      <c r="B28" s="91" t="s">
        <v>38</v>
      </c>
      <c r="C28" s="239">
        <f>'Kiadások COFOG szerint'!C29</f>
        <v>560000</v>
      </c>
      <c r="D28" s="239">
        <v>560000</v>
      </c>
      <c r="E28" s="244">
        <f>SUM('Kiadások COFOG szerint'!E29)</f>
        <v>288826</v>
      </c>
      <c r="F28" s="239">
        <f>'Kiadások COFOG szerint'!F29</f>
        <v>0</v>
      </c>
      <c r="G28" s="90">
        <f>'Kiadások COFOG szerint'!G29</f>
        <v>100</v>
      </c>
      <c r="H28" s="238">
        <f>'Kiadások COFOG szerint'!H29</f>
        <v>560000</v>
      </c>
      <c r="I28" s="23"/>
      <c r="J28" s="31"/>
      <c r="L28" s="23"/>
    </row>
    <row r="29" spans="1:12" ht="20.100000000000001" customHeight="1" x14ac:dyDescent="0.2">
      <c r="A29" s="96" t="s">
        <v>19</v>
      </c>
      <c r="B29" s="66" t="s">
        <v>39</v>
      </c>
      <c r="C29" s="239">
        <f>'Kiadások COFOG szerint'!C30</f>
        <v>1840000</v>
      </c>
      <c r="D29" s="239">
        <v>1840000</v>
      </c>
      <c r="E29" s="244">
        <f>SUM('Kiadások COFOG szerint'!E30)</f>
        <v>1085898</v>
      </c>
      <c r="F29" s="239">
        <f>'Kiadások COFOG szerint'!F30</f>
        <v>0</v>
      </c>
      <c r="G29" s="90">
        <f>'Kiadások COFOG szerint'!G30</f>
        <v>100</v>
      </c>
      <c r="H29" s="238">
        <f>'Kiadások COFOG szerint'!H30</f>
        <v>1840000</v>
      </c>
      <c r="I29" s="23"/>
      <c r="J29" s="31"/>
      <c r="L29" s="23"/>
    </row>
    <row r="30" spans="1:12" ht="25.5" customHeight="1" x14ac:dyDescent="0.2">
      <c r="A30" s="97" t="s">
        <v>20</v>
      </c>
      <c r="B30" s="66" t="s">
        <v>40</v>
      </c>
      <c r="C30" s="239">
        <f>SUM('Kiadások COFOG szerint'!C31)</f>
        <v>175000</v>
      </c>
      <c r="D30" s="239">
        <v>175000</v>
      </c>
      <c r="E30" s="244">
        <f>SUM('Kiadások COFOG szerint'!E31)</f>
        <v>163788</v>
      </c>
      <c r="F30" s="239">
        <f>SUM('Kiadások COFOG szerint'!F31)</f>
        <v>0</v>
      </c>
      <c r="G30" s="90">
        <f>SUM('Kiadások COFOG szerint'!G31)</f>
        <v>100</v>
      </c>
      <c r="H30" s="238">
        <f>SUM('Kiadások COFOG szerint'!H31)</f>
        <v>175000</v>
      </c>
      <c r="I30" s="23"/>
      <c r="J30" s="31"/>
      <c r="L30" s="23"/>
    </row>
    <row r="31" spans="1:12" ht="20.100000000000001" customHeight="1" thickBot="1" x14ac:dyDescent="0.25">
      <c r="A31" s="98" t="s">
        <v>21</v>
      </c>
      <c r="B31" s="68" t="s">
        <v>41</v>
      </c>
      <c r="C31" s="246">
        <f>'Kiadások COFOG szerint'!C32</f>
        <v>5000</v>
      </c>
      <c r="D31" s="246">
        <v>5000</v>
      </c>
      <c r="E31" s="244">
        <f>SUM('Kiadások COFOG szerint'!E32)</f>
        <v>2307</v>
      </c>
      <c r="F31" s="246">
        <f>'Kiadások COFOG szerint'!F32</f>
        <v>0</v>
      </c>
      <c r="G31" s="248">
        <f>'Kiadások COFOG szerint'!G32</f>
        <v>100</v>
      </c>
      <c r="H31" s="245">
        <f>'Kiadások COFOG szerint'!H32</f>
        <v>5000</v>
      </c>
      <c r="I31" s="23"/>
      <c r="J31" s="31"/>
      <c r="L31" s="23"/>
    </row>
    <row r="32" spans="1:12" ht="24.95" customHeight="1" thickBot="1" x14ac:dyDescent="0.25">
      <c r="A32" s="401" t="s">
        <v>45</v>
      </c>
      <c r="B32" s="402"/>
      <c r="C32" s="119">
        <f>SUM(C23:C31)</f>
        <v>4950916</v>
      </c>
      <c r="D32" s="119">
        <f t="shared" ref="D32:E32" si="6">SUM(D23:D31)</f>
        <v>4950916</v>
      </c>
      <c r="E32" s="119">
        <f t="shared" si="6"/>
        <v>2217803</v>
      </c>
      <c r="F32" s="119">
        <f t="shared" ref="F32" si="7">SUM(F23:F31)</f>
        <v>-1000000</v>
      </c>
      <c r="G32" s="62">
        <f>H32/D32*100</f>
        <v>79.801717500357512</v>
      </c>
      <c r="H32" s="250">
        <f>SUM(H23:H31)</f>
        <v>3950916</v>
      </c>
      <c r="J32" s="31"/>
      <c r="L32" s="23"/>
    </row>
    <row r="33" spans="1:12" ht="24.95" customHeight="1" x14ac:dyDescent="0.2">
      <c r="A33" s="73" t="s">
        <v>129</v>
      </c>
      <c r="B33" s="63" t="s">
        <v>132</v>
      </c>
      <c r="C33" s="100">
        <f>SUM('Kiadások COFOG szerint'!C52)</f>
        <v>176699</v>
      </c>
      <c r="D33" s="100">
        <v>176699</v>
      </c>
      <c r="E33" s="100">
        <f>SUM('Kiadások COFOG szerint'!E52)</f>
        <v>0</v>
      </c>
      <c r="F33" s="100">
        <f>SUM('Kiadások COFOG szerint'!F52)</f>
        <v>0</v>
      </c>
      <c r="G33" s="262">
        <f>SUM(H33/D33*100)</f>
        <v>100</v>
      </c>
      <c r="H33" s="249">
        <f>SUM('Kiadások COFOG szerint'!H52)</f>
        <v>176699</v>
      </c>
      <c r="J33" s="31"/>
      <c r="L33" s="23"/>
    </row>
    <row r="34" spans="1:12" ht="24.95" customHeight="1" x14ac:dyDescent="0.2">
      <c r="A34" s="103" t="s">
        <v>146</v>
      </c>
      <c r="B34" s="63" t="s">
        <v>147</v>
      </c>
      <c r="C34" s="214">
        <v>0</v>
      </c>
      <c r="D34" s="214">
        <v>0</v>
      </c>
      <c r="E34" s="214">
        <f>SUM('Kiadások COFOG szerint'!E34)</f>
        <v>2400</v>
      </c>
      <c r="F34" s="214">
        <f>SUM(H34-D34)</f>
        <v>2400</v>
      </c>
      <c r="G34" s="65">
        <v>0</v>
      </c>
      <c r="H34" s="237">
        <f>SUM('Kiadások COFOG szerint'!H34)</f>
        <v>2400</v>
      </c>
      <c r="J34" s="31"/>
      <c r="L34" s="23"/>
    </row>
    <row r="35" spans="1:12" ht="24.95" customHeight="1" thickBot="1" x14ac:dyDescent="0.25">
      <c r="A35" s="103" t="s">
        <v>88</v>
      </c>
      <c r="B35" s="63" t="s">
        <v>89</v>
      </c>
      <c r="C35" s="214">
        <f>SUM('Kiadások COFOG szerint'!C35)</f>
        <v>0</v>
      </c>
      <c r="D35" s="214">
        <v>0</v>
      </c>
      <c r="E35" s="214">
        <v>0</v>
      </c>
      <c r="F35" s="214">
        <f>SUM('Kiadások COFOG szerint'!F35)</f>
        <v>0</v>
      </c>
      <c r="G35" s="65">
        <v>0</v>
      </c>
      <c r="H35" s="64">
        <f>SUM('Kiadások COFOG szerint'!H35)</f>
        <v>0</v>
      </c>
      <c r="J35" s="31"/>
      <c r="L35" s="23"/>
    </row>
    <row r="36" spans="1:12" ht="24.95" customHeight="1" thickBot="1" x14ac:dyDescent="0.25">
      <c r="A36" s="401" t="s">
        <v>149</v>
      </c>
      <c r="B36" s="402"/>
      <c r="C36" s="119">
        <f>SUM(C33:C35)</f>
        <v>176699</v>
      </c>
      <c r="D36" s="119">
        <f t="shared" ref="D36" si="8">SUM(D33:D35)</f>
        <v>176699</v>
      </c>
      <c r="E36" s="119">
        <f>SUM(E33:E35)</f>
        <v>2400</v>
      </c>
      <c r="F36" s="119">
        <f>SUM(F33:F35)</f>
        <v>2400</v>
      </c>
      <c r="G36" s="160">
        <f>SUM(H36/D36*100)</f>
        <v>101.35824198212779</v>
      </c>
      <c r="H36" s="24">
        <f>SUM(H33:H35)</f>
        <v>179099</v>
      </c>
      <c r="J36" s="31"/>
      <c r="L36" s="23"/>
    </row>
    <row r="37" spans="1:12" ht="24.95" customHeight="1" x14ac:dyDescent="0.2">
      <c r="A37" s="73" t="s">
        <v>114</v>
      </c>
      <c r="B37" s="110" t="s">
        <v>119</v>
      </c>
      <c r="C37" s="111">
        <v>0</v>
      </c>
      <c r="D37" s="111">
        <v>0</v>
      </c>
      <c r="E37" s="111"/>
      <c r="F37" s="111">
        <v>0</v>
      </c>
      <c r="G37" s="171">
        <f>SUM('Kiadások COFOG szerint'!G37)</f>
        <v>0</v>
      </c>
      <c r="H37" s="101">
        <f>SUM('Kiadások COFOG szerint'!H37)</f>
        <v>0</v>
      </c>
      <c r="J37" s="31"/>
      <c r="L37" s="23"/>
    </row>
    <row r="38" spans="1:12" ht="24.95" customHeight="1" thickBot="1" x14ac:dyDescent="0.25">
      <c r="A38" s="167" t="s">
        <v>117</v>
      </c>
      <c r="B38" s="168" t="s">
        <v>121</v>
      </c>
      <c r="C38" s="169">
        <v>0</v>
      </c>
      <c r="D38" s="169">
        <v>0</v>
      </c>
      <c r="E38" s="169"/>
      <c r="F38" s="169">
        <v>0</v>
      </c>
      <c r="G38" s="159">
        <f>SUM('Kiadások COFOG szerint'!G38)</f>
        <v>0</v>
      </c>
      <c r="H38" s="170">
        <f>SUM('Kiadások COFOG szerint'!H38)</f>
        <v>0</v>
      </c>
      <c r="J38" s="31"/>
      <c r="L38" s="23"/>
    </row>
    <row r="39" spans="1:12" ht="24.95" customHeight="1" thickBot="1" x14ac:dyDescent="0.25">
      <c r="A39" s="401" t="s">
        <v>118</v>
      </c>
      <c r="B39" s="402"/>
      <c r="C39" s="119">
        <f>SUM(C37:C38)</f>
        <v>0</v>
      </c>
      <c r="D39" s="119">
        <f t="shared" ref="D39:E39" si="9">SUM(D37:D38)</f>
        <v>0</v>
      </c>
      <c r="E39" s="119">
        <f t="shared" si="9"/>
        <v>0</v>
      </c>
      <c r="F39" s="119">
        <f t="shared" ref="F39:H39" si="10">SUM(F37:F38)</f>
        <v>0</v>
      </c>
      <c r="G39" s="160">
        <f t="shared" si="10"/>
        <v>0</v>
      </c>
      <c r="H39" s="24">
        <f t="shared" si="10"/>
        <v>0</v>
      </c>
      <c r="J39" s="31"/>
      <c r="L39" s="23"/>
    </row>
    <row r="40" spans="1:12" ht="21.75" customHeight="1" thickBot="1" x14ac:dyDescent="0.25">
      <c r="A40" s="404" t="s">
        <v>1</v>
      </c>
      <c r="B40" s="405"/>
      <c r="C40" s="120">
        <f>SUM(C19,C22,C32,C36,C39)</f>
        <v>103067034</v>
      </c>
      <c r="D40" s="120">
        <f t="shared" ref="D40:F40" si="11">SUM(D19,D22,D32,D36,D39)</f>
        <v>103067034</v>
      </c>
      <c r="E40" s="120">
        <f>SUM(E19,E22,E32,E36,E39)</f>
        <v>76208355</v>
      </c>
      <c r="F40" s="120">
        <f t="shared" si="11"/>
        <v>4387772</v>
      </c>
      <c r="G40" s="347">
        <f>H40/D40*100</f>
        <v>104.2572021622355</v>
      </c>
      <c r="H40" s="346">
        <f>SUM(H19,H22,H32,H36,H39)</f>
        <v>107454806</v>
      </c>
      <c r="I40" s="26"/>
      <c r="J40" s="31"/>
      <c r="L40" s="23"/>
    </row>
    <row r="41" spans="1:12" x14ac:dyDescent="0.2">
      <c r="L41" s="23"/>
    </row>
    <row r="42" spans="1:12" x14ac:dyDescent="0.2">
      <c r="L42" s="23"/>
    </row>
    <row r="43" spans="1:12" x14ac:dyDescent="0.2">
      <c r="L43" s="23"/>
    </row>
    <row r="44" spans="1:12" x14ac:dyDescent="0.2">
      <c r="L44" s="23"/>
    </row>
    <row r="45" spans="1:12" x14ac:dyDescent="0.2">
      <c r="L45" s="23"/>
    </row>
    <row r="46" spans="1:12" x14ac:dyDescent="0.2">
      <c r="L46" s="23"/>
    </row>
    <row r="47" spans="1:12" x14ac:dyDescent="0.2">
      <c r="L47" s="23"/>
    </row>
    <row r="48" spans="1:12" x14ac:dyDescent="0.2">
      <c r="L48" s="23"/>
    </row>
  </sheetData>
  <sheetProtection algorithmName="SHA-512" hashValue="vtOs/cIafAxUfko3GpHXrZY4c+NRsuhGHKYGg1LR7MBJvsncS+mdSPiqL0FWfqOCpK8W3+6y5j/ArhE8yRzruw==" saltValue="6vE9Nx4V8x9XImacjBO3qA==" spinCount="100000" sheet="1" objects="1" scenarios="1"/>
  <mergeCells count="12">
    <mergeCell ref="A19:B19"/>
    <mergeCell ref="A22:B22"/>
    <mergeCell ref="A32:B32"/>
    <mergeCell ref="A40:B40"/>
    <mergeCell ref="A2:H2"/>
    <mergeCell ref="A3:H3"/>
    <mergeCell ref="A5:H5"/>
    <mergeCell ref="A6:A7"/>
    <mergeCell ref="B6:B7"/>
    <mergeCell ref="A36:B36"/>
    <mergeCell ref="A39:B39"/>
    <mergeCell ref="C6:H6"/>
  </mergeCells>
  <phoneticPr fontId="0" type="noConversion"/>
  <pageMargins left="0.98425196850393704" right="0.98425196850393704" top="0.98425196850393704" bottom="0.98425196850393704" header="0.51181102362204722" footer="0.51181102362204722"/>
  <pageSetup paperSize="9" scale="63" orientation="portrait" r:id="rId1"/>
  <headerFooter alignWithMargins="0">
    <oddHeader>&amp;LPiliscsévi Közös Önkormányzati Hivatal&amp;RII/3. számú melléklet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opLeftCell="A37" zoomScaleNormal="100" workbookViewId="0">
      <selection activeCell="H61" sqref="H61"/>
    </sheetView>
  </sheetViews>
  <sheetFormatPr defaultRowHeight="12.75" x14ac:dyDescent="0.2"/>
  <cols>
    <col min="1" max="1" width="11.5703125" customWidth="1"/>
    <col min="2" max="2" width="39.140625" customWidth="1"/>
    <col min="3" max="4" width="15.5703125" customWidth="1"/>
    <col min="5" max="5" width="12" customWidth="1"/>
    <col min="6" max="6" width="11.42578125" customWidth="1"/>
    <col min="7" max="7" width="9.85546875" customWidth="1"/>
    <col min="8" max="8" width="15.85546875" customWidth="1"/>
    <col min="9" max="9" width="11.42578125" bestFit="1" customWidth="1"/>
    <col min="10" max="10" width="12.42578125" bestFit="1" customWidth="1"/>
    <col min="11" max="11" width="11.42578125" bestFit="1" customWidth="1"/>
    <col min="12" max="13" width="15.28515625" bestFit="1" customWidth="1"/>
    <col min="14" max="14" width="13.7109375" bestFit="1" customWidth="1"/>
    <col min="15" max="15" width="12.5703125" bestFit="1" customWidth="1"/>
    <col min="16" max="16" width="15.28515625" bestFit="1" customWidth="1"/>
  </cols>
  <sheetData>
    <row r="1" spans="1:16" x14ac:dyDescent="0.2">
      <c r="F1" s="349"/>
      <c r="G1" s="349"/>
      <c r="H1" s="349"/>
    </row>
    <row r="2" spans="1:16" ht="15.75" x14ac:dyDescent="0.25">
      <c r="A2" s="358" t="s">
        <v>143</v>
      </c>
      <c r="B2" s="358"/>
      <c r="C2" s="358"/>
      <c r="D2" s="358"/>
      <c r="E2" s="358"/>
      <c r="F2" s="358"/>
      <c r="G2" s="358"/>
      <c r="H2" s="358"/>
    </row>
    <row r="3" spans="1:16" ht="15.75" x14ac:dyDescent="0.25">
      <c r="A3" s="358" t="s">
        <v>76</v>
      </c>
      <c r="B3" s="358"/>
      <c r="C3" s="358"/>
      <c r="D3" s="358"/>
      <c r="E3" s="358"/>
      <c r="F3" s="358"/>
      <c r="G3" s="358"/>
      <c r="H3" s="358"/>
    </row>
    <row r="4" spans="1:16" x14ac:dyDescent="0.2">
      <c r="H4" s="19" t="s">
        <v>58</v>
      </c>
    </row>
    <row r="5" spans="1:16" ht="21.95" customHeight="1" thickBot="1" x14ac:dyDescent="0.25">
      <c r="A5" s="433" t="s">
        <v>49</v>
      </c>
      <c r="B5" s="433"/>
      <c r="C5" s="433"/>
      <c r="D5" s="433"/>
      <c r="E5" s="433"/>
      <c r="F5" s="433"/>
      <c r="G5" s="433"/>
      <c r="H5" s="433"/>
      <c r="L5" s="53"/>
      <c r="M5" s="53"/>
      <c r="N5" s="53"/>
    </row>
    <row r="6" spans="1:16" ht="21.95" customHeight="1" thickBot="1" x14ac:dyDescent="0.25">
      <c r="A6" s="435" t="s">
        <v>77</v>
      </c>
      <c r="B6" s="436"/>
      <c r="C6" s="437"/>
      <c r="D6" s="437"/>
      <c r="E6" s="437"/>
      <c r="F6" s="437"/>
      <c r="G6" s="437"/>
      <c r="H6" s="438"/>
      <c r="J6" s="15"/>
    </row>
    <row r="7" spans="1:16" ht="18.75" customHeight="1" x14ac:dyDescent="0.2">
      <c r="A7" s="439" t="s">
        <v>0</v>
      </c>
      <c r="B7" s="434" t="s">
        <v>47</v>
      </c>
      <c r="C7" s="428">
        <v>2023</v>
      </c>
      <c r="D7" s="429"/>
      <c r="E7" s="429"/>
      <c r="F7" s="429"/>
      <c r="G7" s="429"/>
      <c r="H7" s="430"/>
    </row>
    <row r="8" spans="1:16" ht="25.5" customHeight="1" thickBot="1" x14ac:dyDescent="0.25">
      <c r="A8" s="422"/>
      <c r="B8" s="424"/>
      <c r="C8" s="125" t="s">
        <v>68</v>
      </c>
      <c r="D8" s="269" t="s">
        <v>138</v>
      </c>
      <c r="E8" s="269" t="s">
        <v>145</v>
      </c>
      <c r="F8" s="122" t="s">
        <v>103</v>
      </c>
      <c r="G8" s="122" t="s">
        <v>67</v>
      </c>
      <c r="H8" s="123" t="s">
        <v>142</v>
      </c>
      <c r="J8" s="82" t="s">
        <v>154</v>
      </c>
    </row>
    <row r="9" spans="1:16" ht="21.95" customHeight="1" x14ac:dyDescent="0.2">
      <c r="A9" s="18" t="s">
        <v>4</v>
      </c>
      <c r="B9" s="54" t="s">
        <v>25</v>
      </c>
      <c r="C9" s="76">
        <v>75700000</v>
      </c>
      <c r="D9" s="270">
        <v>75700000</v>
      </c>
      <c r="E9" s="270">
        <v>55412288</v>
      </c>
      <c r="F9" s="20">
        <f>H9-D9</f>
        <v>2100000</v>
      </c>
      <c r="G9" s="81">
        <f>H9/D9*100</f>
        <v>102.77410832232496</v>
      </c>
      <c r="H9" s="21">
        <f>SUM('Részletes cofog kiadás'!G8)</f>
        <v>77800000</v>
      </c>
      <c r="J9" s="182">
        <f>SUM(H9-E9)</f>
        <v>22387712</v>
      </c>
      <c r="K9" s="70"/>
      <c r="L9" s="71"/>
      <c r="M9" s="16"/>
      <c r="N9" s="16"/>
      <c r="O9" s="16"/>
      <c r="P9" s="17"/>
    </row>
    <row r="10" spans="1:16" ht="21.95" customHeight="1" x14ac:dyDescent="0.2">
      <c r="A10" s="58" t="s">
        <v>86</v>
      </c>
      <c r="B10" s="55" t="s">
        <v>87</v>
      </c>
      <c r="C10" s="76">
        <v>0</v>
      </c>
      <c r="D10" s="270">
        <v>0</v>
      </c>
      <c r="E10" s="270">
        <v>0</v>
      </c>
      <c r="F10" s="20">
        <f t="shared" ref="F10:F19" si="0">H10-D10</f>
        <v>0</v>
      </c>
      <c r="G10" s="81">
        <v>0</v>
      </c>
      <c r="H10" s="21">
        <f>'Részletes cofog kiadás'!G13</f>
        <v>0</v>
      </c>
      <c r="J10" s="182">
        <f t="shared" ref="J10:J56" si="1">SUM(H10-E10)</f>
        <v>0</v>
      </c>
      <c r="K10" s="70"/>
      <c r="L10" s="70"/>
    </row>
    <row r="11" spans="1:16" ht="21.95" customHeight="1" x14ac:dyDescent="0.2">
      <c r="A11" s="58" t="s">
        <v>6</v>
      </c>
      <c r="B11" s="55" t="s">
        <v>27</v>
      </c>
      <c r="C11" s="76">
        <v>500000</v>
      </c>
      <c r="D11" s="270">
        <v>500000</v>
      </c>
      <c r="E11" s="270">
        <v>369300</v>
      </c>
      <c r="F11" s="20">
        <f t="shared" si="0"/>
        <v>-130700</v>
      </c>
      <c r="G11" s="81">
        <f>H11/D11*100</f>
        <v>73.86</v>
      </c>
      <c r="H11" s="21">
        <f>SUM('Részletes cofog kiadás'!G14)</f>
        <v>369300</v>
      </c>
      <c r="J11" s="182">
        <f t="shared" si="1"/>
        <v>0</v>
      </c>
      <c r="K11" s="70"/>
      <c r="L11" s="70"/>
    </row>
    <row r="12" spans="1:16" ht="21.95" customHeight="1" x14ac:dyDescent="0.2">
      <c r="A12" s="58" t="s">
        <v>7</v>
      </c>
      <c r="B12" s="55" t="s">
        <v>28</v>
      </c>
      <c r="C12" s="76">
        <v>1280000</v>
      </c>
      <c r="D12" s="270">
        <v>1280000</v>
      </c>
      <c r="E12" s="270">
        <v>927700</v>
      </c>
      <c r="F12" s="20">
        <f t="shared" si="0"/>
        <v>100000</v>
      </c>
      <c r="G12" s="81">
        <f t="shared" ref="G12:G17" si="2">H12/D12*100</f>
        <v>107.8125</v>
      </c>
      <c r="H12" s="21">
        <f>SUM('Részletes cofog kiadás'!G15)</f>
        <v>1380000</v>
      </c>
      <c r="J12" s="182">
        <f t="shared" si="1"/>
        <v>452300</v>
      </c>
    </row>
    <row r="13" spans="1:16" ht="21.95" customHeight="1" x14ac:dyDescent="0.2">
      <c r="A13" s="58" t="s">
        <v>78</v>
      </c>
      <c r="B13" s="55" t="s">
        <v>79</v>
      </c>
      <c r="C13" s="76">
        <v>2600000</v>
      </c>
      <c r="D13" s="270">
        <v>2600000</v>
      </c>
      <c r="E13" s="270">
        <v>3722072</v>
      </c>
      <c r="F13" s="20">
        <f t="shared" si="0"/>
        <v>3072072</v>
      </c>
      <c r="G13" s="81">
        <f t="shared" si="2"/>
        <v>218.15661538461538</v>
      </c>
      <c r="H13" s="21">
        <f>SUM('Részletes cofog kiadás'!G16)</f>
        <v>5672072</v>
      </c>
      <c r="J13" s="182">
        <f t="shared" si="1"/>
        <v>1950000</v>
      </c>
    </row>
    <row r="14" spans="1:16" ht="21.95" customHeight="1" x14ac:dyDescent="0.2">
      <c r="A14" s="58" t="s">
        <v>8</v>
      </c>
      <c r="B14" s="55" t="s">
        <v>29</v>
      </c>
      <c r="C14" s="76">
        <v>200000</v>
      </c>
      <c r="D14" s="270">
        <v>200000</v>
      </c>
      <c r="E14" s="270">
        <v>194178</v>
      </c>
      <c r="F14" s="20">
        <f t="shared" si="0"/>
        <v>180000</v>
      </c>
      <c r="G14" s="81">
        <f t="shared" si="2"/>
        <v>190</v>
      </c>
      <c r="H14" s="21">
        <f>SUM('Részletes cofog kiadás'!G20)</f>
        <v>380000</v>
      </c>
      <c r="J14" s="182">
        <f t="shared" si="1"/>
        <v>185822</v>
      </c>
    </row>
    <row r="15" spans="1:16" ht="21.95" customHeight="1" x14ac:dyDescent="0.2">
      <c r="A15" s="9" t="s">
        <v>9</v>
      </c>
      <c r="B15" s="55" t="s">
        <v>30</v>
      </c>
      <c r="C15" s="76">
        <v>0</v>
      </c>
      <c r="D15" s="270">
        <v>0</v>
      </c>
      <c r="E15" s="270">
        <v>0</v>
      </c>
      <c r="F15" s="20">
        <f t="shared" si="0"/>
        <v>0</v>
      </c>
      <c r="G15" s="81">
        <v>0</v>
      </c>
      <c r="H15" s="21">
        <f>SUM('Részletes cofog kiadás'!G21)</f>
        <v>0</v>
      </c>
      <c r="I15" s="72"/>
      <c r="J15" s="182">
        <f t="shared" si="1"/>
        <v>0</v>
      </c>
    </row>
    <row r="16" spans="1:16" s="75" customFormat="1" ht="21.95" customHeight="1" x14ac:dyDescent="0.2">
      <c r="A16" s="58" t="s">
        <v>80</v>
      </c>
      <c r="B16" s="74" t="s">
        <v>81</v>
      </c>
      <c r="C16" s="76">
        <v>0</v>
      </c>
      <c r="D16" s="270">
        <v>0</v>
      </c>
      <c r="E16" s="270">
        <v>0</v>
      </c>
      <c r="F16" s="20">
        <f t="shared" si="0"/>
        <v>0</v>
      </c>
      <c r="G16" s="81">
        <v>0</v>
      </c>
      <c r="H16" s="21">
        <f>SUM('Részletes cofog kiadás'!G22)</f>
        <v>0</v>
      </c>
      <c r="J16" s="182">
        <f t="shared" si="1"/>
        <v>0</v>
      </c>
    </row>
    <row r="17" spans="1:11" ht="21.95" customHeight="1" x14ac:dyDescent="0.2">
      <c r="A17" s="9" t="s">
        <v>10</v>
      </c>
      <c r="B17" s="55" t="s">
        <v>31</v>
      </c>
      <c r="C17" s="76">
        <v>3236000</v>
      </c>
      <c r="D17" s="270">
        <v>3236000</v>
      </c>
      <c r="E17" s="270">
        <v>1997495</v>
      </c>
      <c r="F17" s="20">
        <f t="shared" si="0"/>
        <v>-936000</v>
      </c>
      <c r="G17" s="81">
        <f t="shared" si="2"/>
        <v>71.075401730531524</v>
      </c>
      <c r="H17" s="21">
        <f>'Részletes cofog kiadás'!G23</f>
        <v>2300000</v>
      </c>
      <c r="I17" s="72"/>
      <c r="J17" s="182">
        <f t="shared" si="1"/>
        <v>302505</v>
      </c>
    </row>
    <row r="18" spans="1:11" s="75" customFormat="1" ht="21.95" customHeight="1" x14ac:dyDescent="0.2">
      <c r="A18" s="37" t="s">
        <v>11</v>
      </c>
      <c r="B18" s="77" t="s">
        <v>32</v>
      </c>
      <c r="C18" s="76">
        <v>0</v>
      </c>
      <c r="D18" s="270">
        <v>0</v>
      </c>
      <c r="E18" s="270">
        <v>0</v>
      </c>
      <c r="F18" s="20">
        <f t="shared" si="0"/>
        <v>0</v>
      </c>
      <c r="G18" s="81">
        <v>0</v>
      </c>
      <c r="H18" s="21">
        <f>SUM('Részletes cofog kiadás'!G24)</f>
        <v>0</v>
      </c>
      <c r="J18" s="182">
        <f t="shared" si="1"/>
        <v>0</v>
      </c>
    </row>
    <row r="19" spans="1:11" s="75" customFormat="1" ht="21.95" customHeight="1" thickBot="1" x14ac:dyDescent="0.25">
      <c r="A19" s="37" t="s">
        <v>56</v>
      </c>
      <c r="B19" s="77" t="s">
        <v>57</v>
      </c>
      <c r="C19" s="76">
        <v>0</v>
      </c>
      <c r="D19" s="270">
        <v>0</v>
      </c>
      <c r="E19" s="270">
        <v>0</v>
      </c>
      <c r="F19" s="20">
        <f t="shared" si="0"/>
        <v>0</v>
      </c>
      <c r="G19" s="81">
        <v>0</v>
      </c>
      <c r="H19" s="21">
        <f>SUM('Részletes cofog kiadás'!G25)</f>
        <v>0</v>
      </c>
      <c r="J19" s="182">
        <f t="shared" si="1"/>
        <v>0</v>
      </c>
    </row>
    <row r="20" spans="1:11" s="75" customFormat="1" ht="21.95" customHeight="1" thickBot="1" x14ac:dyDescent="0.25">
      <c r="A20" s="420" t="s">
        <v>43</v>
      </c>
      <c r="B20" s="417"/>
      <c r="C20" s="78">
        <f>SUM(C9:C19)</f>
        <v>83516000</v>
      </c>
      <c r="D20" s="83">
        <f t="shared" ref="D20:E20" si="3">SUM(D9:D19)</f>
        <v>83516000</v>
      </c>
      <c r="E20" s="203">
        <f t="shared" si="3"/>
        <v>62623033</v>
      </c>
      <c r="F20" s="203">
        <f>SUM(F9:F19)</f>
        <v>4385372</v>
      </c>
      <c r="G20" s="79">
        <f t="shared" ref="G20:G25" si="4">H20/D20*100</f>
        <v>105.25093634752622</v>
      </c>
      <c r="H20" s="80">
        <f>SUM(H9:H19)</f>
        <v>87901372</v>
      </c>
      <c r="J20" s="182">
        <f t="shared" si="1"/>
        <v>25278339</v>
      </c>
    </row>
    <row r="21" spans="1:11" ht="21.95" customHeight="1" x14ac:dyDescent="0.2">
      <c r="A21" s="18" t="s">
        <v>12</v>
      </c>
      <c r="B21" s="54" t="s">
        <v>33</v>
      </c>
      <c r="C21" s="130">
        <v>11200000</v>
      </c>
      <c r="D21" s="162">
        <v>11200000</v>
      </c>
      <c r="E21" s="271">
        <v>7972497</v>
      </c>
      <c r="F21" s="87">
        <f>H21-D21</f>
        <v>520000</v>
      </c>
      <c r="G21" s="88">
        <f t="shared" si="4"/>
        <v>104.64285714285715</v>
      </c>
      <c r="H21" s="128">
        <f>'Részletes cofog kiadás'!G27</f>
        <v>11720000</v>
      </c>
      <c r="J21" s="182">
        <f t="shared" si="1"/>
        <v>3747503</v>
      </c>
    </row>
    <row r="22" spans="1:11" ht="21.95" customHeight="1" thickBot="1" x14ac:dyDescent="0.25">
      <c r="A22" s="10" t="s">
        <v>13</v>
      </c>
      <c r="B22" s="56" t="s">
        <v>34</v>
      </c>
      <c r="C22" s="279">
        <v>390000</v>
      </c>
      <c r="D22" s="227">
        <v>390000</v>
      </c>
      <c r="E22" s="272">
        <v>559203</v>
      </c>
      <c r="F22" s="85">
        <f>H22-D22</f>
        <v>480000</v>
      </c>
      <c r="G22" s="61">
        <f t="shared" si="4"/>
        <v>223.07692307692309</v>
      </c>
      <c r="H22" s="22">
        <f>SUM('Részletes cofog kiadás'!G28)</f>
        <v>870000</v>
      </c>
      <c r="J22" s="182">
        <f t="shared" si="1"/>
        <v>310797</v>
      </c>
    </row>
    <row r="23" spans="1:11" ht="21.95" customHeight="1" thickBot="1" x14ac:dyDescent="0.25">
      <c r="A23" s="416" t="s">
        <v>82</v>
      </c>
      <c r="B23" s="417"/>
      <c r="C23" s="78">
        <f>C21+C22</f>
        <v>11590000</v>
      </c>
      <c r="D23" s="83">
        <f t="shared" ref="D23:E23" si="5">D21+D22</f>
        <v>11590000</v>
      </c>
      <c r="E23" s="203">
        <f t="shared" si="5"/>
        <v>8531700</v>
      </c>
      <c r="F23" s="203">
        <f>F21+F22</f>
        <v>1000000</v>
      </c>
      <c r="G23" s="79">
        <f t="shared" si="4"/>
        <v>108.62812769628991</v>
      </c>
      <c r="H23" s="80">
        <f>SUM(H21:H22)</f>
        <v>12590000</v>
      </c>
      <c r="J23" s="182">
        <f t="shared" si="1"/>
        <v>4058300</v>
      </c>
    </row>
    <row r="24" spans="1:11" ht="21.95" customHeight="1" x14ac:dyDescent="0.2">
      <c r="A24" s="84" t="s">
        <v>14</v>
      </c>
      <c r="B24" s="121" t="s">
        <v>35</v>
      </c>
      <c r="C24" s="130">
        <v>100000</v>
      </c>
      <c r="D24" s="273">
        <v>100000</v>
      </c>
      <c r="E24" s="273">
        <v>15000</v>
      </c>
      <c r="F24" s="20">
        <f>H24-D24</f>
        <v>0</v>
      </c>
      <c r="G24" s="148">
        <f t="shared" si="4"/>
        <v>100</v>
      </c>
      <c r="H24" s="128">
        <f>SUM('Részletes cofog kiadás'!G30)</f>
        <v>100000</v>
      </c>
      <c r="J24" s="182">
        <f t="shared" si="1"/>
        <v>85000</v>
      </c>
    </row>
    <row r="25" spans="1:11" ht="21.95" customHeight="1" x14ac:dyDescent="0.2">
      <c r="A25" s="9" t="s">
        <v>15</v>
      </c>
      <c r="B25" s="121" t="s">
        <v>36</v>
      </c>
      <c r="C25" s="76">
        <v>100000</v>
      </c>
      <c r="D25" s="270">
        <v>100000</v>
      </c>
      <c r="E25" s="270">
        <v>0</v>
      </c>
      <c r="F25" s="20">
        <f>H25-D25</f>
        <v>0</v>
      </c>
      <c r="G25" s="81">
        <f t="shared" si="4"/>
        <v>100</v>
      </c>
      <c r="H25" s="21">
        <f>SUM('Részletes cofog kiadás'!G31)</f>
        <v>100000</v>
      </c>
      <c r="I25" s="12"/>
      <c r="J25" s="182">
        <f t="shared" si="1"/>
        <v>100000</v>
      </c>
    </row>
    <row r="26" spans="1:11" ht="21.95" customHeight="1" x14ac:dyDescent="0.2">
      <c r="A26" s="58" t="s">
        <v>83</v>
      </c>
      <c r="B26" s="121" t="s">
        <v>84</v>
      </c>
      <c r="C26" s="76">
        <v>270916</v>
      </c>
      <c r="D26" s="270">
        <v>270916</v>
      </c>
      <c r="E26" s="270">
        <v>172662</v>
      </c>
      <c r="F26" s="20">
        <f t="shared" ref="F26:F32" si="6">H26-D26</f>
        <v>0</v>
      </c>
      <c r="G26" s="81">
        <f t="shared" ref="G26:G32" si="7">H26/D26*100</f>
        <v>100</v>
      </c>
      <c r="H26" s="21">
        <f>SUM('Részletes cofog kiadás'!G32)</f>
        <v>270916</v>
      </c>
      <c r="I26" s="12"/>
      <c r="J26" s="182">
        <f t="shared" si="1"/>
        <v>98254</v>
      </c>
    </row>
    <row r="27" spans="1:11" ht="21.95" customHeight="1" x14ac:dyDescent="0.2">
      <c r="A27" s="35" t="s">
        <v>16</v>
      </c>
      <c r="B27" s="55" t="s">
        <v>85</v>
      </c>
      <c r="C27" s="76">
        <v>40000</v>
      </c>
      <c r="D27" s="270">
        <v>40000</v>
      </c>
      <c r="E27" s="270">
        <v>22842</v>
      </c>
      <c r="F27" s="20">
        <f t="shared" si="6"/>
        <v>0</v>
      </c>
      <c r="G27" s="81">
        <f t="shared" si="7"/>
        <v>100</v>
      </c>
      <c r="H27" s="21">
        <f>SUM('Részletes cofog kiadás'!G36)</f>
        <v>40000</v>
      </c>
      <c r="J27" s="182">
        <f t="shared" si="1"/>
        <v>17158</v>
      </c>
    </row>
    <row r="28" spans="1:11" ht="21.95" customHeight="1" x14ac:dyDescent="0.2">
      <c r="A28" s="9" t="s">
        <v>17</v>
      </c>
      <c r="B28" s="55" t="s">
        <v>37</v>
      </c>
      <c r="C28" s="76">
        <v>1860000</v>
      </c>
      <c r="D28" s="270">
        <v>1860000</v>
      </c>
      <c r="E28" s="270">
        <v>466480</v>
      </c>
      <c r="F28" s="20">
        <f t="shared" si="6"/>
        <v>-1000000</v>
      </c>
      <c r="G28" s="81">
        <f t="shared" si="7"/>
        <v>46.236559139784944</v>
      </c>
      <c r="H28" s="21">
        <f>'Részletes cofog kiadás'!G39</f>
        <v>860000</v>
      </c>
      <c r="I28" s="72"/>
      <c r="J28" s="182">
        <f t="shared" si="1"/>
        <v>393520</v>
      </c>
    </row>
    <row r="29" spans="1:11" ht="21.95" customHeight="1" x14ac:dyDescent="0.2">
      <c r="A29" s="9" t="s">
        <v>18</v>
      </c>
      <c r="B29" s="121" t="s">
        <v>38</v>
      </c>
      <c r="C29" s="76">
        <v>560000</v>
      </c>
      <c r="D29" s="270">
        <v>560000</v>
      </c>
      <c r="E29" s="270">
        <v>288826</v>
      </c>
      <c r="F29" s="20">
        <f t="shared" si="6"/>
        <v>0</v>
      </c>
      <c r="G29" s="81">
        <f t="shared" si="7"/>
        <v>100</v>
      </c>
      <c r="H29" s="21">
        <f>SUM('Részletes cofog kiadás'!G44)</f>
        <v>560000</v>
      </c>
      <c r="I29" s="72"/>
      <c r="J29" s="182">
        <f t="shared" si="1"/>
        <v>271174</v>
      </c>
    </row>
    <row r="30" spans="1:11" ht="21.95" customHeight="1" x14ac:dyDescent="0.2">
      <c r="A30" s="18" t="s">
        <v>19</v>
      </c>
      <c r="B30" s="55" t="s">
        <v>39</v>
      </c>
      <c r="C30" s="76">
        <v>1840000</v>
      </c>
      <c r="D30" s="270">
        <v>1840000</v>
      </c>
      <c r="E30" s="270">
        <v>1085898</v>
      </c>
      <c r="F30" s="20">
        <f t="shared" si="6"/>
        <v>0</v>
      </c>
      <c r="G30" s="81">
        <f t="shared" si="7"/>
        <v>100</v>
      </c>
      <c r="H30" s="21">
        <f>SUM('Részletes cofog kiadás'!G46)</f>
        <v>1840000</v>
      </c>
      <c r="J30" s="182">
        <f t="shared" si="1"/>
        <v>754102</v>
      </c>
      <c r="K30" s="82"/>
    </row>
    <row r="31" spans="1:11" ht="21.95" customHeight="1" x14ac:dyDescent="0.2">
      <c r="A31" s="9" t="s">
        <v>20</v>
      </c>
      <c r="B31" s="55" t="s">
        <v>40</v>
      </c>
      <c r="C31" s="76">
        <v>175000</v>
      </c>
      <c r="D31" s="270">
        <v>175000</v>
      </c>
      <c r="E31" s="270">
        <v>163788</v>
      </c>
      <c r="F31" s="20">
        <f t="shared" si="6"/>
        <v>0</v>
      </c>
      <c r="G31" s="81">
        <f t="shared" si="7"/>
        <v>100</v>
      </c>
      <c r="H31" s="21">
        <f>SUM('Részletes cofog kiadás'!G49)</f>
        <v>175000</v>
      </c>
      <c r="J31" s="182">
        <f t="shared" si="1"/>
        <v>11212</v>
      </c>
      <c r="K31" s="12"/>
    </row>
    <row r="32" spans="1:11" ht="21.95" customHeight="1" thickBot="1" x14ac:dyDescent="0.25">
      <c r="A32" s="10" t="s">
        <v>21</v>
      </c>
      <c r="B32" s="56" t="s">
        <v>70</v>
      </c>
      <c r="C32" s="131">
        <v>5000</v>
      </c>
      <c r="D32" s="274">
        <v>5000</v>
      </c>
      <c r="E32" s="274">
        <v>2307</v>
      </c>
      <c r="F32" s="20">
        <f t="shared" si="6"/>
        <v>0</v>
      </c>
      <c r="G32" s="81">
        <f t="shared" si="7"/>
        <v>100</v>
      </c>
      <c r="H32" s="22">
        <f>SUM('Részletes cofog kiadás'!G51)</f>
        <v>5000</v>
      </c>
      <c r="J32" s="182">
        <f t="shared" si="1"/>
        <v>2693</v>
      </c>
    </row>
    <row r="33" spans="1:10" ht="21.95" customHeight="1" thickBot="1" x14ac:dyDescent="0.25">
      <c r="A33" s="416" t="s">
        <v>45</v>
      </c>
      <c r="B33" s="417"/>
      <c r="C33" s="83">
        <f>SUM(C24:C32)</f>
        <v>4950916</v>
      </c>
      <c r="D33" s="83">
        <f t="shared" ref="D33:E33" si="8">SUM(D24:D32)</f>
        <v>4950916</v>
      </c>
      <c r="E33" s="83">
        <f t="shared" si="8"/>
        <v>2217803</v>
      </c>
      <c r="F33" s="83">
        <f>SUM(F24:F32)</f>
        <v>-1000000</v>
      </c>
      <c r="G33" s="79">
        <f>H33/D33*100</f>
        <v>79.801717500357512</v>
      </c>
      <c r="H33" s="80">
        <f>SUM(H24:H32)</f>
        <v>3950916</v>
      </c>
      <c r="J33" s="182">
        <f t="shared" si="1"/>
        <v>1733113</v>
      </c>
    </row>
    <row r="34" spans="1:10" ht="21.95" customHeight="1" x14ac:dyDescent="0.2">
      <c r="A34" s="34" t="s">
        <v>146</v>
      </c>
      <c r="B34" s="54" t="s">
        <v>147</v>
      </c>
      <c r="C34" s="132">
        <v>0</v>
      </c>
      <c r="D34" s="273">
        <v>0</v>
      </c>
      <c r="E34" s="273">
        <v>2400</v>
      </c>
      <c r="F34" s="85">
        <f>SUM(H34-D34)</f>
        <v>2400</v>
      </c>
      <c r="G34" s="61">
        <v>0</v>
      </c>
      <c r="H34" s="57">
        <f>SUM('Részletes cofog kiadás'!G53)</f>
        <v>2400</v>
      </c>
      <c r="J34" s="182">
        <f t="shared" si="1"/>
        <v>0</v>
      </c>
    </row>
    <row r="35" spans="1:10" ht="21.95" customHeight="1" thickBot="1" x14ac:dyDescent="0.25">
      <c r="A35" s="34" t="s">
        <v>88</v>
      </c>
      <c r="B35" s="54" t="s">
        <v>89</v>
      </c>
      <c r="C35" s="132">
        <v>0</v>
      </c>
      <c r="D35" s="273">
        <v>0</v>
      </c>
      <c r="E35" s="273"/>
      <c r="F35" s="85">
        <f>H35-D35</f>
        <v>0</v>
      </c>
      <c r="G35" s="61">
        <v>0</v>
      </c>
      <c r="H35" s="57">
        <f>'Részletes cofog kiadás'!G54</f>
        <v>0</v>
      </c>
      <c r="J35" s="182"/>
    </row>
    <row r="36" spans="1:10" ht="21.95" customHeight="1" thickBot="1" x14ac:dyDescent="0.25">
      <c r="A36" s="416" t="s">
        <v>149</v>
      </c>
      <c r="B36" s="417"/>
      <c r="C36" s="83">
        <f t="shared" ref="C36" si="9">SUM(C35)</f>
        <v>0</v>
      </c>
      <c r="D36" s="83">
        <v>0</v>
      </c>
      <c r="E36" s="83">
        <f>SUM(E34:E35)</f>
        <v>2400</v>
      </c>
      <c r="F36" s="83">
        <f>SUM(F34:F35)</f>
        <v>2400</v>
      </c>
      <c r="G36" s="79">
        <v>0</v>
      </c>
      <c r="H36" s="80">
        <f>SUM(H34:H35)</f>
        <v>2400</v>
      </c>
      <c r="J36" s="182">
        <f t="shared" si="1"/>
        <v>0</v>
      </c>
    </row>
    <row r="37" spans="1:10" ht="21.95" customHeight="1" x14ac:dyDescent="0.2">
      <c r="A37" s="86" t="s">
        <v>114</v>
      </c>
      <c r="B37" s="161" t="s">
        <v>119</v>
      </c>
      <c r="C37" s="162">
        <v>0</v>
      </c>
      <c r="D37" s="162">
        <v>0</v>
      </c>
      <c r="E37" s="162"/>
      <c r="F37" s="87">
        <f>H37-D37</f>
        <v>0</v>
      </c>
      <c r="G37" s="88">
        <v>0</v>
      </c>
      <c r="H37" s="128">
        <f>SUM('Részletes cofog kiadás'!G56)</f>
        <v>0</v>
      </c>
      <c r="J37" s="182"/>
    </row>
    <row r="38" spans="1:10" ht="21.95" customHeight="1" thickBot="1" x14ac:dyDescent="0.25">
      <c r="A38" s="136" t="s">
        <v>117</v>
      </c>
      <c r="B38" s="163" t="s">
        <v>120</v>
      </c>
      <c r="C38" s="164">
        <v>0</v>
      </c>
      <c r="D38" s="226">
        <v>0</v>
      </c>
      <c r="E38" s="226"/>
      <c r="F38" s="85">
        <f>H38-D38</f>
        <v>0</v>
      </c>
      <c r="G38" s="165">
        <v>0</v>
      </c>
      <c r="H38" s="166">
        <f>SUM('Részletes cofog kiadás'!G58)</f>
        <v>0</v>
      </c>
      <c r="J38" s="182"/>
    </row>
    <row r="39" spans="1:10" ht="21.95" customHeight="1" thickBot="1" x14ac:dyDescent="0.25">
      <c r="A39" s="431" t="s">
        <v>118</v>
      </c>
      <c r="B39" s="432"/>
      <c r="C39" s="156">
        <f t="shared" ref="C39" si="10">SUM(C37:C38)</f>
        <v>0</v>
      </c>
      <c r="D39" s="156">
        <v>0</v>
      </c>
      <c r="E39" s="156"/>
      <c r="F39" s="156">
        <f>SUM(F37:F38)</f>
        <v>0</v>
      </c>
      <c r="G39" s="157">
        <v>0</v>
      </c>
      <c r="H39" s="158">
        <f>SUM(H37:H38)</f>
        <v>0</v>
      </c>
      <c r="J39" s="182"/>
    </row>
    <row r="40" spans="1:10" ht="21.95" customHeight="1" thickBot="1" x14ac:dyDescent="0.25">
      <c r="A40" s="418" t="s">
        <v>48</v>
      </c>
      <c r="B40" s="419"/>
      <c r="C40" s="284">
        <f>C20+C23+C33+C36+C39</f>
        <v>100056916</v>
      </c>
      <c r="D40" s="284">
        <f t="shared" ref="D40:E40" si="11">D20+D23+D33+D36+D39</f>
        <v>100056916</v>
      </c>
      <c r="E40" s="284">
        <f t="shared" si="11"/>
        <v>73374936</v>
      </c>
      <c r="F40" s="284">
        <f>F20+F23+F33+F36</f>
        <v>4387772</v>
      </c>
      <c r="G40" s="285">
        <f>H40/D40*100</f>
        <v>104.38527607626844</v>
      </c>
      <c r="H40" s="283">
        <f>SUM(H20,H23,H33,H36,H39)</f>
        <v>104444688</v>
      </c>
      <c r="J40" s="182">
        <f t="shared" si="1"/>
        <v>31069752</v>
      </c>
    </row>
    <row r="41" spans="1:10" ht="21.95" customHeight="1" thickBot="1" x14ac:dyDescent="0.25">
      <c r="A41" s="425" t="s">
        <v>128</v>
      </c>
      <c r="B41" s="426"/>
      <c r="C41" s="426"/>
      <c r="D41" s="426"/>
      <c r="E41" s="426"/>
      <c r="F41" s="426"/>
      <c r="G41" s="426"/>
      <c r="H41" s="427"/>
      <c r="I41" s="235"/>
      <c r="J41" s="182"/>
    </row>
    <row r="42" spans="1:10" ht="21.95" customHeight="1" x14ac:dyDescent="0.2">
      <c r="A42" s="421" t="s">
        <v>0</v>
      </c>
      <c r="B42" s="423" t="s">
        <v>47</v>
      </c>
      <c r="C42" s="428">
        <v>2023</v>
      </c>
      <c r="D42" s="429"/>
      <c r="E42" s="429"/>
      <c r="F42" s="429"/>
      <c r="G42" s="429"/>
      <c r="H42" s="430"/>
      <c r="J42" s="182"/>
    </row>
    <row r="43" spans="1:10" ht="13.5" thickBot="1" x14ac:dyDescent="0.25">
      <c r="A43" s="422"/>
      <c r="B43" s="424"/>
      <c r="C43" s="125" t="s">
        <v>68</v>
      </c>
      <c r="D43" s="269" t="s">
        <v>138</v>
      </c>
      <c r="E43" s="269" t="s">
        <v>145</v>
      </c>
      <c r="F43" s="122" t="s">
        <v>103</v>
      </c>
      <c r="G43" s="122" t="s">
        <v>67</v>
      </c>
      <c r="H43" s="123" t="s">
        <v>142</v>
      </c>
      <c r="J43" s="182"/>
    </row>
    <row r="44" spans="1:10" ht="21" x14ac:dyDescent="0.2">
      <c r="A44" s="86" t="s">
        <v>11</v>
      </c>
      <c r="B44" s="215" t="s">
        <v>32</v>
      </c>
      <c r="C44" s="217">
        <v>1117670</v>
      </c>
      <c r="D44" s="127">
        <v>1117670</v>
      </c>
      <c r="E44" s="127">
        <v>1117670</v>
      </c>
      <c r="F44" s="87">
        <f>SUM(H44-D44)</f>
        <v>0</v>
      </c>
      <c r="G44" s="88">
        <f>SUM(H44/D44*100)</f>
        <v>100</v>
      </c>
      <c r="H44" s="228">
        <f>SUM('Részletes cofog kiadás'!G65)</f>
        <v>1117670</v>
      </c>
      <c r="I44" s="223"/>
      <c r="J44" s="182">
        <f t="shared" si="1"/>
        <v>0</v>
      </c>
    </row>
    <row r="45" spans="1:10" ht="15.75" customHeight="1" thickBot="1" x14ac:dyDescent="0.25">
      <c r="A45" s="207" t="s">
        <v>10</v>
      </c>
      <c r="B45" s="216" t="s">
        <v>131</v>
      </c>
      <c r="C45" s="131">
        <v>1433800</v>
      </c>
      <c r="D45" s="274">
        <v>1433800</v>
      </c>
      <c r="E45" s="274">
        <v>1433800</v>
      </c>
      <c r="F45" s="225">
        <f>SUM(H45-D45)</f>
        <v>0</v>
      </c>
      <c r="G45" s="61">
        <f>SUM(H45/D45*100)</f>
        <v>100</v>
      </c>
      <c r="H45" s="229">
        <f>SUM('Részletes cofog kiadás'!G66)</f>
        <v>1433800</v>
      </c>
      <c r="I45" s="223"/>
      <c r="J45" s="182">
        <f t="shared" si="1"/>
        <v>0</v>
      </c>
    </row>
    <row r="46" spans="1:10" ht="15.75" customHeight="1" thickBot="1" x14ac:dyDescent="0.25">
      <c r="A46" s="420" t="s">
        <v>43</v>
      </c>
      <c r="B46" s="417"/>
      <c r="C46" s="78">
        <f>SUM(C44:C45)</f>
        <v>2551470</v>
      </c>
      <c r="D46" s="203">
        <f t="shared" ref="D46:E46" si="12">SUM(D44:D45)</f>
        <v>2551470</v>
      </c>
      <c r="E46" s="203">
        <f t="shared" si="12"/>
        <v>2551470</v>
      </c>
      <c r="F46" s="83">
        <f>SUM(H46-D46)</f>
        <v>0</v>
      </c>
      <c r="G46" s="79">
        <f>SUM(H46/D45*100)</f>
        <v>177.95159715441486</v>
      </c>
      <c r="H46" s="230">
        <f>SUM(H44:H45)</f>
        <v>2551470</v>
      </c>
      <c r="I46" s="224"/>
      <c r="J46" s="182">
        <f t="shared" si="1"/>
        <v>0</v>
      </c>
    </row>
    <row r="47" spans="1:10" ht="15.75" customHeight="1" thickBot="1" x14ac:dyDescent="0.25">
      <c r="A47" s="18" t="s">
        <v>12</v>
      </c>
      <c r="B47" s="54" t="s">
        <v>33</v>
      </c>
      <c r="C47" s="220">
        <v>281949</v>
      </c>
      <c r="D47" s="275">
        <v>281949</v>
      </c>
      <c r="E47" s="275">
        <v>281949</v>
      </c>
      <c r="F47" s="221">
        <f>SUM(H47-D47)</f>
        <v>0</v>
      </c>
      <c r="G47" s="209">
        <f>SUM(H47/D47*100)</f>
        <v>100</v>
      </c>
      <c r="H47" s="231">
        <f>SUM('Részletes cofog kiadás'!G68)</f>
        <v>281949</v>
      </c>
      <c r="I47" s="223"/>
      <c r="J47" s="182">
        <f t="shared" si="1"/>
        <v>0</v>
      </c>
    </row>
    <row r="48" spans="1:10" ht="15" customHeight="1" thickBot="1" x14ac:dyDescent="0.25">
      <c r="A48" s="416" t="s">
        <v>82</v>
      </c>
      <c r="B48" s="417"/>
      <c r="C48" s="78">
        <f>SUM(C47)</f>
        <v>281949</v>
      </c>
      <c r="D48" s="203">
        <f>SUM(D47)</f>
        <v>281949</v>
      </c>
      <c r="E48" s="203">
        <f>SUM(E47)</f>
        <v>281949</v>
      </c>
      <c r="F48" s="83">
        <f>SUM(H48-D48)</f>
        <v>0</v>
      </c>
      <c r="G48" s="79">
        <f>SUM(H48/D48*100)</f>
        <v>100</v>
      </c>
      <c r="H48" s="230">
        <f>SUM(H47)</f>
        <v>281949</v>
      </c>
      <c r="I48" s="224"/>
      <c r="J48" s="182">
        <f t="shared" si="1"/>
        <v>0</v>
      </c>
    </row>
    <row r="49" spans="1:10" ht="15" customHeight="1" x14ac:dyDescent="0.2">
      <c r="A49" s="9" t="s">
        <v>15</v>
      </c>
      <c r="B49" s="121" t="s">
        <v>36</v>
      </c>
      <c r="C49" s="222">
        <v>0</v>
      </c>
      <c r="D49" s="172">
        <v>0</v>
      </c>
      <c r="E49" s="172"/>
      <c r="F49" s="87">
        <f t="shared" ref="F49:F51" si="13">SUM(H49-C49)</f>
        <v>0</v>
      </c>
      <c r="G49" s="61">
        <v>0</v>
      </c>
      <c r="H49" s="232">
        <v>0</v>
      </c>
      <c r="I49" s="223"/>
      <c r="J49" s="182">
        <f t="shared" si="1"/>
        <v>0</v>
      </c>
    </row>
    <row r="50" spans="1:10" ht="23.25" customHeight="1" thickBot="1" x14ac:dyDescent="0.25">
      <c r="A50" s="9" t="s">
        <v>20</v>
      </c>
      <c r="B50" s="55" t="s">
        <v>40</v>
      </c>
      <c r="C50" s="218">
        <v>0</v>
      </c>
      <c r="D50" s="276">
        <v>0</v>
      </c>
      <c r="E50" s="276"/>
      <c r="F50" s="221">
        <f t="shared" si="13"/>
        <v>0</v>
      </c>
      <c r="G50" s="89">
        <v>0</v>
      </c>
      <c r="H50" s="229">
        <v>0</v>
      </c>
      <c r="I50" s="223"/>
      <c r="J50" s="182">
        <f t="shared" si="1"/>
        <v>0</v>
      </c>
    </row>
    <row r="51" spans="1:10" ht="14.25" customHeight="1" thickBot="1" x14ac:dyDescent="0.25">
      <c r="A51" s="416" t="s">
        <v>45</v>
      </c>
      <c r="B51" s="417"/>
      <c r="C51" s="78">
        <v>0</v>
      </c>
      <c r="D51" s="203">
        <v>0</v>
      </c>
      <c r="E51" s="203"/>
      <c r="F51" s="83">
        <f t="shared" si="13"/>
        <v>0</v>
      </c>
      <c r="G51" s="79">
        <v>0</v>
      </c>
      <c r="H51" s="230">
        <v>0</v>
      </c>
      <c r="I51" s="224"/>
      <c r="J51" s="182">
        <f t="shared" si="1"/>
        <v>0</v>
      </c>
    </row>
    <row r="52" spans="1:10" ht="22.5" customHeight="1" thickBot="1" x14ac:dyDescent="0.25">
      <c r="A52" s="58" t="s">
        <v>129</v>
      </c>
      <c r="B52" s="121" t="s">
        <v>130</v>
      </c>
      <c r="C52" s="219">
        <v>176699</v>
      </c>
      <c r="D52" s="276">
        <v>176699</v>
      </c>
      <c r="E52" s="276">
        <v>0</v>
      </c>
      <c r="F52" s="221">
        <f>SUM(H52-D52)</f>
        <v>0</v>
      </c>
      <c r="G52" s="145">
        <f>SUM(H52/D52*100)</f>
        <v>100</v>
      </c>
      <c r="H52" s="233">
        <v>176699</v>
      </c>
      <c r="I52" s="223"/>
      <c r="J52" s="182">
        <f t="shared" si="1"/>
        <v>176699</v>
      </c>
    </row>
    <row r="53" spans="1:10" ht="15" customHeight="1" thickBot="1" x14ac:dyDescent="0.25">
      <c r="A53" s="416" t="s">
        <v>45</v>
      </c>
      <c r="B53" s="417"/>
      <c r="C53" s="78">
        <f>SUM(C49:C52)</f>
        <v>176699</v>
      </c>
      <c r="D53" s="203">
        <f t="shared" ref="D53:E53" si="14">SUM(D49:D52)</f>
        <v>176699</v>
      </c>
      <c r="E53" s="203">
        <f t="shared" si="14"/>
        <v>0</v>
      </c>
      <c r="F53" s="83">
        <f>SUM(H53-D53)</f>
        <v>0</v>
      </c>
      <c r="G53" s="79">
        <f>SUM(H53/D53*100)</f>
        <v>100</v>
      </c>
      <c r="H53" s="230">
        <f>SUM(H52)</f>
        <v>176699</v>
      </c>
      <c r="I53" s="224"/>
      <c r="J53" s="182">
        <f t="shared" si="1"/>
        <v>176699</v>
      </c>
    </row>
    <row r="54" spans="1:10" ht="15" customHeight="1" thickBot="1" x14ac:dyDescent="0.25">
      <c r="A54" s="418" t="s">
        <v>48</v>
      </c>
      <c r="B54" s="419"/>
      <c r="C54" s="287">
        <f>SUM(C53,C48,C46)</f>
        <v>3010118</v>
      </c>
      <c r="D54" s="288">
        <f t="shared" ref="D54" si="15">SUM(D53,D48,D46)</f>
        <v>3010118</v>
      </c>
      <c r="E54" s="286">
        <f>SUM(E53,E48,E46+E51)</f>
        <v>2833419</v>
      </c>
      <c r="F54" s="286">
        <f>SUM(H54-D54)</f>
        <v>0</v>
      </c>
      <c r="G54" s="280">
        <f>SUM(H54/D54*100)</f>
        <v>100</v>
      </c>
      <c r="H54" s="234">
        <f>SUM(H46+H48+H51+H53)</f>
        <v>3010118</v>
      </c>
      <c r="I54" s="224"/>
      <c r="J54" s="182">
        <f t="shared" si="1"/>
        <v>176699</v>
      </c>
    </row>
    <row r="55" spans="1:10" ht="13.5" thickBot="1" x14ac:dyDescent="0.25">
      <c r="A55" s="30"/>
      <c r="C55" s="133"/>
      <c r="D55" s="277"/>
      <c r="E55" s="277"/>
      <c r="F55" s="31"/>
      <c r="G55" s="281"/>
      <c r="H55" s="32"/>
      <c r="J55" s="182">
        <f t="shared" si="1"/>
        <v>0</v>
      </c>
    </row>
    <row r="56" spans="1:10" ht="13.5" thickBot="1" x14ac:dyDescent="0.25">
      <c r="A56" s="27" t="s">
        <v>59</v>
      </c>
      <c r="B56" s="28"/>
      <c r="C56" s="289">
        <f>C40+C54</f>
        <v>103067034</v>
      </c>
      <c r="D56" s="290">
        <f>D40+D54</f>
        <v>103067034</v>
      </c>
      <c r="E56" s="290">
        <f>E40+E54</f>
        <v>76208355</v>
      </c>
      <c r="F56" s="290">
        <f>F40+F54</f>
        <v>4387772</v>
      </c>
      <c r="G56" s="292">
        <f>H56/D56*100</f>
        <v>104.2572021622355</v>
      </c>
      <c r="H56" s="291">
        <f>SUM(H40+H54)</f>
        <v>107454806</v>
      </c>
      <c r="J56" s="182">
        <f t="shared" si="1"/>
        <v>31246451</v>
      </c>
    </row>
    <row r="57" spans="1:10" x14ac:dyDescent="0.2">
      <c r="J57" s="182"/>
    </row>
    <row r="58" spans="1:10" x14ac:dyDescent="0.2">
      <c r="J58" s="182"/>
    </row>
  </sheetData>
  <autoFilter ref="A1:A56"/>
  <mergeCells count="23">
    <mergeCell ref="C7:H7"/>
    <mergeCell ref="F1:H1"/>
    <mergeCell ref="A2:H2"/>
    <mergeCell ref="A3:H3"/>
    <mergeCell ref="A5:H5"/>
    <mergeCell ref="B7:B8"/>
    <mergeCell ref="A6:H6"/>
    <mergeCell ref="A7:A8"/>
    <mergeCell ref="A20:B20"/>
    <mergeCell ref="A23:B23"/>
    <mergeCell ref="A33:B33"/>
    <mergeCell ref="A39:B39"/>
    <mergeCell ref="A36:B36"/>
    <mergeCell ref="A42:A43"/>
    <mergeCell ref="B42:B43"/>
    <mergeCell ref="A41:H41"/>
    <mergeCell ref="A40:B40"/>
    <mergeCell ref="C42:H42"/>
    <mergeCell ref="A53:B53"/>
    <mergeCell ref="A54:B54"/>
    <mergeCell ref="A46:B46"/>
    <mergeCell ref="A48:B48"/>
    <mergeCell ref="A51:B51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60" orientation="portrait" r:id="rId1"/>
  <headerFooter alignWithMargins="0">
    <oddHeader>&amp;LPiliscsévi Közös Önkormányzati Hivatal&amp;RII/3.a) számú melléklet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4"/>
  <sheetViews>
    <sheetView workbookViewId="0">
      <selection activeCell="M49" sqref="M49"/>
    </sheetView>
  </sheetViews>
  <sheetFormatPr defaultRowHeight="12.75" x14ac:dyDescent="0.2"/>
  <cols>
    <col min="2" max="2" width="26.140625" customWidth="1"/>
    <col min="3" max="3" width="15.5703125" customWidth="1"/>
    <col min="4" max="4" width="10.140625" bestFit="1" customWidth="1"/>
    <col min="5" max="5" width="10.7109375" bestFit="1" customWidth="1"/>
    <col min="6" max="6" width="9.85546875" customWidth="1"/>
    <col min="7" max="7" width="14" bestFit="1" customWidth="1"/>
    <col min="9" max="9" width="16.42578125" bestFit="1" customWidth="1"/>
    <col min="10" max="10" width="13.85546875" customWidth="1"/>
    <col min="11" max="11" width="10.140625" bestFit="1" customWidth="1"/>
    <col min="14" max="14" width="10.140625" bestFit="1" customWidth="1"/>
  </cols>
  <sheetData>
    <row r="1" spans="1:14" ht="15.75" x14ac:dyDescent="0.25">
      <c r="A1" s="358" t="s">
        <v>143</v>
      </c>
      <c r="B1" s="358"/>
      <c r="C1" s="358"/>
      <c r="D1" s="358"/>
      <c r="E1" s="358"/>
      <c r="F1" s="358"/>
      <c r="G1" s="358"/>
    </row>
    <row r="2" spans="1:14" ht="15.75" x14ac:dyDescent="0.25">
      <c r="A2" s="358" t="s">
        <v>76</v>
      </c>
      <c r="B2" s="358"/>
      <c r="C2" s="358"/>
      <c r="D2" s="358"/>
      <c r="E2" s="358"/>
      <c r="F2" s="358"/>
      <c r="G2" s="358"/>
    </row>
    <row r="3" spans="1:14" x14ac:dyDescent="0.2">
      <c r="G3" s="19" t="s">
        <v>58</v>
      </c>
    </row>
    <row r="4" spans="1:14" x14ac:dyDescent="0.2">
      <c r="A4" s="433" t="s">
        <v>49</v>
      </c>
      <c r="B4" s="433"/>
      <c r="C4" s="433"/>
      <c r="D4" s="433"/>
      <c r="E4" s="433"/>
      <c r="F4" s="433"/>
      <c r="G4" s="433"/>
    </row>
    <row r="5" spans="1:14" x14ac:dyDescent="0.2">
      <c r="A5" s="435" t="s">
        <v>77</v>
      </c>
      <c r="B5" s="436"/>
      <c r="C5" s="437"/>
      <c r="D5" s="437"/>
      <c r="E5" s="437"/>
      <c r="F5" s="437"/>
      <c r="G5" s="438"/>
    </row>
    <row r="6" spans="1:14" x14ac:dyDescent="0.2">
      <c r="A6" s="439" t="s">
        <v>0</v>
      </c>
      <c r="B6" s="434" t="s">
        <v>47</v>
      </c>
      <c r="C6" s="461">
        <v>2023</v>
      </c>
      <c r="D6" s="462"/>
      <c r="E6" s="462"/>
      <c r="F6" s="463"/>
      <c r="G6" s="124">
        <v>2023</v>
      </c>
    </row>
    <row r="7" spans="1:14" ht="13.5" thickBot="1" x14ac:dyDescent="0.25">
      <c r="A7" s="422"/>
      <c r="B7" s="424"/>
      <c r="C7" s="464"/>
      <c r="D7" s="465"/>
      <c r="E7" s="465"/>
      <c r="F7" s="466"/>
      <c r="G7" s="123" t="s">
        <v>142</v>
      </c>
      <c r="L7" s="31"/>
      <c r="M7" s="31"/>
      <c r="N7" s="31"/>
    </row>
    <row r="8" spans="1:14" ht="21" x14ac:dyDescent="0.2">
      <c r="A8" s="18" t="s">
        <v>4</v>
      </c>
      <c r="B8" s="54" t="s">
        <v>25</v>
      </c>
      <c r="C8" s="440"/>
      <c r="D8" s="441"/>
      <c r="E8" s="441"/>
      <c r="F8" s="448"/>
      <c r="G8" s="138">
        <f>SUM(Leosztott!O9+Leosztott!G9)</f>
        <v>77800000</v>
      </c>
      <c r="I8" s="182"/>
      <c r="J8" s="82" t="s">
        <v>173</v>
      </c>
      <c r="K8" s="82" t="s">
        <v>155</v>
      </c>
      <c r="L8" s="31"/>
      <c r="M8" s="31" t="s">
        <v>154</v>
      </c>
      <c r="N8" s="31"/>
    </row>
    <row r="9" spans="1:14" x14ac:dyDescent="0.2">
      <c r="A9" s="18"/>
      <c r="B9" s="54"/>
      <c r="C9" s="184" t="s">
        <v>136</v>
      </c>
      <c r="D9" s="150"/>
      <c r="E9" s="150"/>
      <c r="F9" s="183"/>
      <c r="G9" s="21">
        <v>33500000</v>
      </c>
      <c r="I9" s="182">
        <v>29290075</v>
      </c>
      <c r="J9" s="31">
        <v>4585800</v>
      </c>
      <c r="K9" s="149">
        <f>SUM(I9:J9)</f>
        <v>33875875</v>
      </c>
      <c r="L9" s="31"/>
      <c r="M9" s="31">
        <f>SUM(G9-K9)</f>
        <v>-375875</v>
      </c>
      <c r="N9" s="31"/>
    </row>
    <row r="10" spans="1:14" ht="21" x14ac:dyDescent="0.2">
      <c r="A10" s="18"/>
      <c r="B10" s="54" t="s">
        <v>25</v>
      </c>
      <c r="C10" s="184" t="s">
        <v>137</v>
      </c>
      <c r="D10" s="150"/>
      <c r="E10" s="150"/>
      <c r="F10" s="183"/>
      <c r="G10" s="21">
        <v>42100000</v>
      </c>
      <c r="I10" s="182">
        <v>36688404</v>
      </c>
      <c r="J10" s="31">
        <v>4585800</v>
      </c>
      <c r="K10" s="149">
        <f>SUM(I10:J10)</f>
        <v>41274204</v>
      </c>
      <c r="L10" s="31"/>
      <c r="M10" s="31">
        <f>SUM(G10-K10)</f>
        <v>825796</v>
      </c>
      <c r="N10" s="31"/>
    </row>
    <row r="11" spans="1:14" x14ac:dyDescent="0.2">
      <c r="A11" s="18"/>
      <c r="B11" s="54"/>
      <c r="C11" s="184" t="s">
        <v>159</v>
      </c>
      <c r="D11" s="150"/>
      <c r="E11" s="150"/>
      <c r="F11" s="183"/>
      <c r="G11" s="21">
        <v>1550000</v>
      </c>
      <c r="I11" s="182"/>
      <c r="K11" s="31"/>
      <c r="L11" s="31"/>
      <c r="M11" s="31"/>
      <c r="N11" s="31"/>
    </row>
    <row r="12" spans="1:14" x14ac:dyDescent="0.2">
      <c r="A12" s="18"/>
      <c r="B12" s="54"/>
      <c r="C12" s="184" t="s">
        <v>160</v>
      </c>
      <c r="D12" s="150"/>
      <c r="E12" s="150"/>
      <c r="F12" s="183"/>
      <c r="G12" s="21">
        <v>650000</v>
      </c>
      <c r="I12" s="182"/>
      <c r="K12" s="31"/>
      <c r="L12" s="31"/>
      <c r="M12" s="31"/>
      <c r="N12" s="31"/>
    </row>
    <row r="13" spans="1:14" ht="18" customHeight="1" x14ac:dyDescent="0.2">
      <c r="A13" s="58" t="s">
        <v>86</v>
      </c>
      <c r="B13" s="55" t="s">
        <v>87</v>
      </c>
      <c r="C13" s="440"/>
      <c r="D13" s="441"/>
      <c r="E13" s="441"/>
      <c r="F13" s="448"/>
      <c r="G13" s="138"/>
      <c r="I13" s="70"/>
      <c r="L13" s="31"/>
      <c r="M13" s="31"/>
      <c r="N13" s="31"/>
    </row>
    <row r="14" spans="1:14" ht="31.5" x14ac:dyDescent="0.2">
      <c r="A14" s="58" t="s">
        <v>6</v>
      </c>
      <c r="B14" s="55" t="s">
        <v>27</v>
      </c>
      <c r="C14" s="440"/>
      <c r="D14" s="441"/>
      <c r="E14" s="448"/>
      <c r="F14" s="81"/>
      <c r="G14" s="138">
        <f>SUM(Leosztott!G11+Leosztott!O11)</f>
        <v>369300</v>
      </c>
      <c r="I14" s="50"/>
      <c r="L14" s="31"/>
      <c r="M14" s="31"/>
      <c r="N14" s="31"/>
    </row>
    <row r="15" spans="1:14" x14ac:dyDescent="0.2">
      <c r="A15" s="58" t="s">
        <v>7</v>
      </c>
      <c r="B15" s="55" t="s">
        <v>28</v>
      </c>
      <c r="C15" s="440"/>
      <c r="D15" s="441"/>
      <c r="E15" s="448"/>
      <c r="F15" s="81"/>
      <c r="G15" s="138">
        <v>1380000</v>
      </c>
      <c r="I15" s="50"/>
      <c r="L15" s="31"/>
      <c r="M15" s="31"/>
      <c r="N15" s="31"/>
    </row>
    <row r="16" spans="1:14" x14ac:dyDescent="0.2">
      <c r="A16" s="58" t="s">
        <v>78</v>
      </c>
      <c r="B16" s="55" t="s">
        <v>79</v>
      </c>
      <c r="C16" s="440"/>
      <c r="D16" s="441"/>
      <c r="E16" s="448"/>
      <c r="F16" s="81"/>
      <c r="G16" s="138">
        <f>SUM(Leosztott!G13+Leosztott!O13)</f>
        <v>5672072</v>
      </c>
      <c r="H16" s="82"/>
      <c r="I16" s="70"/>
      <c r="L16" s="31"/>
      <c r="M16" s="31"/>
      <c r="N16" s="31"/>
    </row>
    <row r="17" spans="1:14" x14ac:dyDescent="0.2">
      <c r="A17" s="58"/>
      <c r="B17" s="331" t="s">
        <v>156</v>
      </c>
      <c r="C17" s="332"/>
      <c r="D17" s="333"/>
      <c r="E17" s="334"/>
      <c r="F17" s="335"/>
      <c r="G17" s="336">
        <v>3722072</v>
      </c>
      <c r="H17" s="82"/>
      <c r="I17" s="70"/>
      <c r="L17" s="31"/>
      <c r="M17" s="31"/>
      <c r="N17" s="31"/>
    </row>
    <row r="18" spans="1:14" x14ac:dyDescent="0.2">
      <c r="A18" s="58"/>
      <c r="B18" s="331" t="s">
        <v>157</v>
      </c>
      <c r="C18" s="332"/>
      <c r="D18" s="333"/>
      <c r="E18" s="334"/>
      <c r="F18" s="335"/>
      <c r="G18" s="336">
        <v>825000</v>
      </c>
      <c r="H18" s="82"/>
      <c r="I18" s="70"/>
      <c r="L18" s="31"/>
      <c r="M18" s="31"/>
      <c r="N18" s="31"/>
    </row>
    <row r="19" spans="1:14" x14ac:dyDescent="0.2">
      <c r="A19" s="58"/>
      <c r="B19" s="331" t="s">
        <v>158</v>
      </c>
      <c r="C19" s="332"/>
      <c r="D19" s="333"/>
      <c r="E19" s="334"/>
      <c r="F19" s="335"/>
      <c r="G19" s="336">
        <v>1125000</v>
      </c>
      <c r="H19" s="82"/>
      <c r="I19" s="70"/>
      <c r="L19" s="31"/>
      <c r="M19" s="31"/>
      <c r="N19" s="31"/>
    </row>
    <row r="20" spans="1:14" x14ac:dyDescent="0.2">
      <c r="A20" s="58" t="s">
        <v>8</v>
      </c>
      <c r="B20" s="55" t="s">
        <v>29</v>
      </c>
      <c r="C20" s="440"/>
      <c r="D20" s="441"/>
      <c r="E20" s="448"/>
      <c r="F20" s="81"/>
      <c r="G20" s="138">
        <v>380000</v>
      </c>
      <c r="L20" s="31"/>
      <c r="M20" s="31"/>
      <c r="N20" s="31"/>
    </row>
    <row r="21" spans="1:14" x14ac:dyDescent="0.2">
      <c r="A21" s="9" t="s">
        <v>9</v>
      </c>
      <c r="B21" s="55" t="s">
        <v>30</v>
      </c>
      <c r="C21" s="440"/>
      <c r="D21" s="441"/>
      <c r="E21" s="448"/>
      <c r="F21" s="81"/>
      <c r="G21" s="138"/>
      <c r="I21" s="70"/>
      <c r="L21" s="31"/>
      <c r="M21" s="31"/>
      <c r="N21" s="31"/>
    </row>
    <row r="22" spans="1:14" ht="15" x14ac:dyDescent="0.25">
      <c r="A22" s="58" t="s">
        <v>80</v>
      </c>
      <c r="B22" s="74" t="s">
        <v>81</v>
      </c>
      <c r="C22" s="440"/>
      <c r="D22" s="441"/>
      <c r="E22" s="448"/>
      <c r="F22" s="81"/>
      <c r="G22" s="138"/>
      <c r="L22" s="236"/>
      <c r="M22" s="31"/>
      <c r="N22" s="31"/>
    </row>
    <row r="23" spans="1:14" ht="21" x14ac:dyDescent="0.2">
      <c r="A23" s="9" t="s">
        <v>10</v>
      </c>
      <c r="B23" s="55" t="s">
        <v>31</v>
      </c>
      <c r="C23" s="440"/>
      <c r="D23" s="441"/>
      <c r="E23" s="448"/>
      <c r="F23" s="81"/>
      <c r="G23" s="138">
        <f>SUM(Leosztott!G19+Leosztott!O19)</f>
        <v>2300000</v>
      </c>
      <c r="I23" s="70"/>
      <c r="N23" s="31"/>
    </row>
    <row r="24" spans="1:14" ht="42" x14ac:dyDescent="0.25">
      <c r="A24" s="37" t="s">
        <v>11</v>
      </c>
      <c r="B24" s="77" t="s">
        <v>32</v>
      </c>
      <c r="C24" s="440"/>
      <c r="D24" s="441"/>
      <c r="E24" s="448"/>
      <c r="F24" s="89"/>
      <c r="G24" s="22"/>
      <c r="I24" s="82"/>
      <c r="J24" s="149"/>
      <c r="N24" s="236"/>
    </row>
    <row r="25" spans="1:14" ht="13.5" thickBot="1" x14ac:dyDescent="0.25">
      <c r="A25" s="7" t="s">
        <v>56</v>
      </c>
      <c r="B25" s="68" t="s">
        <v>57</v>
      </c>
      <c r="C25" s="449"/>
      <c r="D25" s="450"/>
      <c r="E25" s="451"/>
      <c r="F25" s="89"/>
      <c r="G25" s="22"/>
      <c r="L25" s="31"/>
      <c r="M25" s="31"/>
      <c r="N25" s="31"/>
    </row>
    <row r="26" spans="1:14" ht="13.5" thickBot="1" x14ac:dyDescent="0.25">
      <c r="A26" s="420" t="s">
        <v>43</v>
      </c>
      <c r="B26" s="417"/>
      <c r="C26" s="78">
        <f>SUM(C8:C25)</f>
        <v>0</v>
      </c>
      <c r="D26" s="78">
        <f>SUM(D8:D25)</f>
        <v>0</v>
      </c>
      <c r="E26" s="78">
        <f>SUM(E8:E25)</f>
        <v>0</v>
      </c>
      <c r="F26" s="79"/>
      <c r="G26" s="80">
        <f>SUM(G8+G14+G15+G16+G23+G20)</f>
        <v>87901372</v>
      </c>
    </row>
    <row r="27" spans="1:14" x14ac:dyDescent="0.2">
      <c r="A27" s="18" t="s">
        <v>12</v>
      </c>
      <c r="B27" s="54" t="s">
        <v>33</v>
      </c>
      <c r="C27" s="126">
        <f>G26</f>
        <v>87901372</v>
      </c>
      <c r="D27" s="147"/>
      <c r="E27" s="127"/>
      <c r="F27" s="88"/>
      <c r="G27" s="128">
        <f>SUM(Leosztott!G23+Leosztott!O23)</f>
        <v>11720000</v>
      </c>
    </row>
    <row r="28" spans="1:14" ht="13.5" thickBot="1" x14ac:dyDescent="0.25">
      <c r="A28" s="10" t="s">
        <v>13</v>
      </c>
      <c r="B28" s="56" t="s">
        <v>34</v>
      </c>
      <c r="C28" s="129">
        <f>SUM(G16)</f>
        <v>5672072</v>
      </c>
      <c r="D28" s="189"/>
      <c r="E28" s="172"/>
      <c r="F28" s="61"/>
      <c r="G28" s="22">
        <f>SUM(Leosztott!G24+Leosztott!O24)</f>
        <v>870000</v>
      </c>
      <c r="L28" s="31"/>
      <c r="M28" s="31"/>
      <c r="N28" s="31"/>
    </row>
    <row r="29" spans="1:14" ht="13.5" thickBot="1" x14ac:dyDescent="0.25">
      <c r="A29" s="416" t="s">
        <v>82</v>
      </c>
      <c r="B29" s="417"/>
      <c r="C29" s="78">
        <f>C27+C28</f>
        <v>93573444</v>
      </c>
      <c r="D29" s="78">
        <f>D27+D28</f>
        <v>0</v>
      </c>
      <c r="E29" s="78">
        <f>E27+E28</f>
        <v>0</v>
      </c>
      <c r="F29" s="79"/>
      <c r="G29" s="80">
        <f>SUM(G27:G28)</f>
        <v>12590000</v>
      </c>
      <c r="I29" s="188" t="s">
        <v>127</v>
      </c>
    </row>
    <row r="30" spans="1:14" x14ac:dyDescent="0.2">
      <c r="A30" s="84" t="s">
        <v>14</v>
      </c>
      <c r="B30" s="140" t="s">
        <v>35</v>
      </c>
      <c r="C30" s="440"/>
      <c r="D30" s="441"/>
      <c r="E30" s="185">
        <v>0.27</v>
      </c>
      <c r="F30" s="81"/>
      <c r="G30" s="139">
        <f>SUM(Leosztott!G26+Leosztott!O26)</f>
        <v>100000</v>
      </c>
      <c r="I30" s="31">
        <f t="shared" ref="I30:I31" si="0">SUM(G30*E30)</f>
        <v>27000</v>
      </c>
    </row>
    <row r="31" spans="1:14" x14ac:dyDescent="0.2">
      <c r="A31" s="9" t="s">
        <v>15</v>
      </c>
      <c r="B31" s="141" t="s">
        <v>36</v>
      </c>
      <c r="C31" s="440"/>
      <c r="D31" s="441"/>
      <c r="E31" s="185">
        <v>0.27</v>
      </c>
      <c r="F31" s="81"/>
      <c r="G31" s="138">
        <f>SUM(Leosztott!G27+Leosztott!O27)</f>
        <v>100000</v>
      </c>
      <c r="I31" s="31">
        <f t="shared" si="0"/>
        <v>27000</v>
      </c>
    </row>
    <row r="32" spans="1:14" ht="21" x14ac:dyDescent="0.2">
      <c r="A32" s="58" t="s">
        <v>83</v>
      </c>
      <c r="B32" s="141" t="s">
        <v>84</v>
      </c>
      <c r="C32" s="440"/>
      <c r="D32" s="441"/>
      <c r="E32" s="441"/>
      <c r="F32" s="448"/>
      <c r="G32" s="138">
        <f>SUM(Leosztott!G28+Leosztott!O28)</f>
        <v>270916</v>
      </c>
      <c r="I32" s="31"/>
    </row>
    <row r="33" spans="1:11" x14ac:dyDescent="0.2">
      <c r="A33" s="58"/>
      <c r="B33" s="141" t="s">
        <v>107</v>
      </c>
      <c r="C33" s="440">
        <v>5000</v>
      </c>
      <c r="D33" s="441"/>
      <c r="E33" s="185">
        <v>0.05</v>
      </c>
      <c r="F33" s="81">
        <v>12</v>
      </c>
      <c r="G33" s="21">
        <f t="shared" ref="G33:G34" si="1">SUM(C33*F33)</f>
        <v>60000</v>
      </c>
      <c r="I33" s="31">
        <f>SUM(G33*E33)</f>
        <v>3000</v>
      </c>
    </row>
    <row r="34" spans="1:11" x14ac:dyDescent="0.2">
      <c r="A34" s="58"/>
      <c r="B34" s="141" t="s">
        <v>104</v>
      </c>
      <c r="C34" s="440">
        <v>50400</v>
      </c>
      <c r="D34" s="441"/>
      <c r="E34" s="185">
        <v>0.05</v>
      </c>
      <c r="F34" s="81">
        <v>4</v>
      </c>
      <c r="G34" s="21">
        <f t="shared" si="1"/>
        <v>201600</v>
      </c>
      <c r="I34" s="31">
        <f t="shared" ref="I34:I48" si="2">SUM(G34*E34)</f>
        <v>10080</v>
      </c>
    </row>
    <row r="35" spans="1:11" x14ac:dyDescent="0.2">
      <c r="A35" s="58"/>
      <c r="B35" s="141" t="s">
        <v>106</v>
      </c>
      <c r="C35" s="440">
        <v>9316</v>
      </c>
      <c r="D35" s="441"/>
      <c r="E35" s="185">
        <v>0.05</v>
      </c>
      <c r="F35" s="81">
        <v>1</v>
      </c>
      <c r="G35" s="21">
        <f>SUM(C35*F35)</f>
        <v>9316</v>
      </c>
      <c r="I35" s="31">
        <f t="shared" si="2"/>
        <v>465.8</v>
      </c>
    </row>
    <row r="36" spans="1:11" ht="21" x14ac:dyDescent="0.2">
      <c r="A36" s="9" t="s">
        <v>16</v>
      </c>
      <c r="B36" s="142" t="s">
        <v>85</v>
      </c>
      <c r="C36" s="440"/>
      <c r="D36" s="441"/>
      <c r="E36" s="441"/>
      <c r="F36" s="448"/>
      <c r="G36" s="138">
        <f>SUM(Leosztott!G32+Leosztott!O32)</f>
        <v>40000</v>
      </c>
      <c r="I36" s="31"/>
    </row>
    <row r="37" spans="1:11" x14ac:dyDescent="0.2">
      <c r="A37" s="35"/>
      <c r="B37" s="142" t="s">
        <v>105</v>
      </c>
      <c r="C37" s="440">
        <v>3000</v>
      </c>
      <c r="D37" s="441"/>
      <c r="E37" s="185">
        <v>0.27</v>
      </c>
      <c r="F37" s="81">
        <v>12</v>
      </c>
      <c r="G37" s="21">
        <f>SUM(C37*F37)</f>
        <v>36000</v>
      </c>
      <c r="I37" s="31">
        <f t="shared" si="2"/>
        <v>9720</v>
      </c>
    </row>
    <row r="38" spans="1:11" x14ac:dyDescent="0.2">
      <c r="A38" s="35"/>
      <c r="B38" s="142" t="s">
        <v>106</v>
      </c>
      <c r="C38" s="184"/>
      <c r="D38" s="150"/>
      <c r="E38" s="186">
        <v>0.27</v>
      </c>
      <c r="F38" s="183"/>
      <c r="G38" s="21">
        <v>4000</v>
      </c>
      <c r="I38" s="31">
        <f t="shared" si="2"/>
        <v>1080</v>
      </c>
    </row>
    <row r="39" spans="1:11" ht="21" x14ac:dyDescent="0.2">
      <c r="A39" s="9" t="s">
        <v>17</v>
      </c>
      <c r="B39" s="142" t="s">
        <v>37</v>
      </c>
      <c r="C39" s="440"/>
      <c r="D39" s="441"/>
      <c r="E39" s="441"/>
      <c r="F39" s="448"/>
      <c r="G39" s="138">
        <f>SUM(Leosztott!G35+Leosztott!O35)</f>
        <v>860000</v>
      </c>
      <c r="I39" s="31">
        <f t="shared" si="2"/>
        <v>0</v>
      </c>
    </row>
    <row r="40" spans="1:11" x14ac:dyDescent="0.2">
      <c r="A40" s="9"/>
      <c r="B40" s="141" t="s">
        <v>108</v>
      </c>
      <c r="C40" s="440">
        <v>200000</v>
      </c>
      <c r="D40" s="441"/>
      <c r="E40" s="187" t="s">
        <v>125</v>
      </c>
      <c r="F40" s="81">
        <v>2</v>
      </c>
      <c r="G40" s="21">
        <f>SUM(C40*F40)</f>
        <v>400000</v>
      </c>
      <c r="I40" s="31"/>
    </row>
    <row r="41" spans="1:11" x14ac:dyDescent="0.2">
      <c r="A41" s="9"/>
      <c r="B41" s="141" t="s">
        <v>124</v>
      </c>
      <c r="C41" s="440"/>
      <c r="D41" s="441"/>
      <c r="E41" s="187" t="s">
        <v>125</v>
      </c>
      <c r="F41" s="81"/>
      <c r="G41" s="21">
        <v>0</v>
      </c>
      <c r="I41" s="31"/>
      <c r="K41" s="82"/>
    </row>
    <row r="42" spans="1:11" x14ac:dyDescent="0.2">
      <c r="A42" s="9"/>
      <c r="B42" s="141" t="s">
        <v>126</v>
      </c>
      <c r="C42" s="440">
        <v>90000</v>
      </c>
      <c r="D42" s="441"/>
      <c r="E42" s="187">
        <v>0.27</v>
      </c>
      <c r="F42" s="81">
        <v>4</v>
      </c>
      <c r="G42" s="21">
        <f>SUM(C42*F42)</f>
        <v>360000</v>
      </c>
      <c r="I42" s="31">
        <f t="shared" si="2"/>
        <v>97200</v>
      </c>
    </row>
    <row r="43" spans="1:11" x14ac:dyDescent="0.2">
      <c r="A43" s="9"/>
      <c r="B43" s="141" t="s">
        <v>109</v>
      </c>
      <c r="C43" s="440">
        <v>100000</v>
      </c>
      <c r="D43" s="441"/>
      <c r="E43" s="187" t="s">
        <v>125</v>
      </c>
      <c r="F43" s="81">
        <v>1</v>
      </c>
      <c r="G43" s="21">
        <v>100000</v>
      </c>
      <c r="I43" s="31"/>
    </row>
    <row r="44" spans="1:11" x14ac:dyDescent="0.2">
      <c r="A44" s="9" t="s">
        <v>18</v>
      </c>
      <c r="B44" s="141" t="s">
        <v>38</v>
      </c>
      <c r="C44" s="440"/>
      <c r="D44" s="441"/>
      <c r="E44" s="441"/>
      <c r="F44" s="448"/>
      <c r="G44" s="138">
        <f>SUM(Leosztott!G40+Leosztott!O40)</f>
        <v>560000</v>
      </c>
      <c r="I44" s="31"/>
    </row>
    <row r="45" spans="1:11" x14ac:dyDescent="0.2">
      <c r="A45" s="18"/>
      <c r="B45" s="141" t="s">
        <v>110</v>
      </c>
      <c r="C45" s="440">
        <v>560000</v>
      </c>
      <c r="D45" s="441"/>
      <c r="E45" s="448"/>
      <c r="F45" s="81">
        <v>1</v>
      </c>
      <c r="G45" s="21">
        <v>555200</v>
      </c>
      <c r="I45" s="31"/>
    </row>
    <row r="46" spans="1:11" x14ac:dyDescent="0.2">
      <c r="A46" s="18" t="s">
        <v>19</v>
      </c>
      <c r="B46" s="142" t="s">
        <v>39</v>
      </c>
      <c r="C46" s="440"/>
      <c r="D46" s="441"/>
      <c r="E46" s="441"/>
      <c r="F46" s="448"/>
      <c r="G46" s="138">
        <f>SUM(Leosztott!G42+Leosztott!O42)</f>
        <v>1840000</v>
      </c>
      <c r="I46" s="31"/>
    </row>
    <row r="47" spans="1:11" x14ac:dyDescent="0.2">
      <c r="A47" s="18"/>
      <c r="B47" s="142" t="s">
        <v>111</v>
      </c>
      <c r="C47" s="440">
        <v>150000</v>
      </c>
      <c r="D47" s="441"/>
      <c r="E47" s="448"/>
      <c r="F47" s="81">
        <v>12</v>
      </c>
      <c r="G47" s="21">
        <f>SUM(C47*F47)</f>
        <v>1800000</v>
      </c>
      <c r="I47" s="31">
        <f t="shared" si="2"/>
        <v>0</v>
      </c>
    </row>
    <row r="48" spans="1:11" x14ac:dyDescent="0.2">
      <c r="A48" s="18"/>
      <c r="B48" s="142" t="s">
        <v>112</v>
      </c>
      <c r="C48" s="440">
        <v>40000</v>
      </c>
      <c r="D48" s="441"/>
      <c r="E48" s="448"/>
      <c r="F48" s="81">
        <v>1</v>
      </c>
      <c r="G48" s="21">
        <f>SUM(C48*F48)</f>
        <v>40000</v>
      </c>
      <c r="I48" s="31">
        <f t="shared" si="2"/>
        <v>0</v>
      </c>
    </row>
    <row r="49" spans="1:9" ht="21" x14ac:dyDescent="0.2">
      <c r="A49" s="9" t="s">
        <v>20</v>
      </c>
      <c r="B49" s="142" t="s">
        <v>40</v>
      </c>
      <c r="C49" s="440">
        <f>SUM(I49)</f>
        <v>175545.8</v>
      </c>
      <c r="D49" s="441"/>
      <c r="E49" s="448"/>
      <c r="F49" s="81">
        <v>1</v>
      </c>
      <c r="G49" s="138">
        <f>SUM(Leosztott!O45+Leosztott!G45)</f>
        <v>175000</v>
      </c>
      <c r="I49" s="31">
        <f>SUM(I30:I48)</f>
        <v>175545.8</v>
      </c>
    </row>
    <row r="50" spans="1:9" ht="21" x14ac:dyDescent="0.2">
      <c r="A50" s="9" t="s">
        <v>21</v>
      </c>
      <c r="B50" s="142" t="s">
        <v>70</v>
      </c>
      <c r="C50" s="440"/>
      <c r="D50" s="441"/>
      <c r="E50" s="441"/>
      <c r="F50" s="448"/>
      <c r="G50" s="21"/>
    </row>
    <row r="51" spans="1:9" ht="13.5" thickBot="1" x14ac:dyDescent="0.25">
      <c r="A51" s="143"/>
      <c r="B51" s="144" t="s">
        <v>113</v>
      </c>
      <c r="C51" s="449">
        <v>5000</v>
      </c>
      <c r="D51" s="450"/>
      <c r="E51" s="451"/>
      <c r="F51" s="145">
        <v>1</v>
      </c>
      <c r="G51" s="146">
        <f>SUM(Leosztott!G47+Leosztott!O47)</f>
        <v>5000</v>
      </c>
    </row>
    <row r="52" spans="1:9" ht="13.5" thickBot="1" x14ac:dyDescent="0.25">
      <c r="A52" s="416" t="s">
        <v>45</v>
      </c>
      <c r="B52" s="417"/>
      <c r="C52" s="442"/>
      <c r="D52" s="443"/>
      <c r="E52" s="443"/>
      <c r="F52" s="444"/>
      <c r="G52" s="80">
        <f>SUM(G30,G31,G32,G36,G39,G44,G46,G49,G51)</f>
        <v>3950916</v>
      </c>
    </row>
    <row r="53" spans="1:9" x14ac:dyDescent="0.2">
      <c r="A53" s="34" t="s">
        <v>146</v>
      </c>
      <c r="B53" s="282" t="s">
        <v>148</v>
      </c>
      <c r="C53" s="467"/>
      <c r="D53" s="468"/>
      <c r="E53" s="468"/>
      <c r="F53" s="469"/>
      <c r="G53" s="57">
        <f>SUM(Leosztott!G49+Leosztott!O49)</f>
        <v>2400</v>
      </c>
    </row>
    <row r="54" spans="1:9" ht="13.5" thickBot="1" x14ac:dyDescent="0.25">
      <c r="A54" s="34" t="s">
        <v>88</v>
      </c>
      <c r="B54" s="54" t="s">
        <v>89</v>
      </c>
      <c r="C54" s="452"/>
      <c r="D54" s="453"/>
      <c r="E54" s="453"/>
      <c r="F54" s="454"/>
      <c r="G54" s="57">
        <v>0</v>
      </c>
    </row>
    <row r="55" spans="1:9" ht="13.5" thickBot="1" x14ac:dyDescent="0.25">
      <c r="A55" s="416" t="s">
        <v>149</v>
      </c>
      <c r="B55" s="417"/>
      <c r="C55" s="442"/>
      <c r="D55" s="443"/>
      <c r="E55" s="443"/>
      <c r="F55" s="444"/>
      <c r="G55" s="80">
        <f>SUM(G53:G54)</f>
        <v>2400</v>
      </c>
    </row>
    <row r="56" spans="1:9" x14ac:dyDescent="0.2">
      <c r="A56" s="58" t="s">
        <v>114</v>
      </c>
      <c r="B56" s="55" t="s">
        <v>115</v>
      </c>
      <c r="C56" s="441"/>
      <c r="D56" s="441"/>
      <c r="E56" s="441"/>
      <c r="F56" s="150"/>
      <c r="G56" s="138">
        <f>SUM(G57)</f>
        <v>0</v>
      </c>
    </row>
    <row r="57" spans="1:9" x14ac:dyDescent="0.2">
      <c r="A57" s="455"/>
      <c r="B57" s="456"/>
      <c r="C57" s="153"/>
      <c r="D57" s="153"/>
      <c r="E57" s="153"/>
      <c r="F57" s="154"/>
      <c r="G57" s="21"/>
    </row>
    <row r="58" spans="1:9" x14ac:dyDescent="0.2">
      <c r="A58" s="137" t="s">
        <v>117</v>
      </c>
      <c r="B58" s="151" t="s">
        <v>116</v>
      </c>
      <c r="C58" s="453"/>
      <c r="D58" s="453"/>
      <c r="E58" s="453"/>
      <c r="F58" s="152"/>
      <c r="G58" s="155"/>
    </row>
    <row r="59" spans="1:9" ht="13.5" thickBot="1" x14ac:dyDescent="0.25">
      <c r="A59" s="416" t="s">
        <v>118</v>
      </c>
      <c r="B59" s="417"/>
      <c r="C59" s="457"/>
      <c r="D59" s="443"/>
      <c r="E59" s="443"/>
      <c r="F59" s="444"/>
      <c r="G59" s="80">
        <f>SUM(G56,G58)</f>
        <v>0</v>
      </c>
    </row>
    <row r="60" spans="1:9" ht="26.25" customHeight="1" thickBot="1" x14ac:dyDescent="0.25">
      <c r="A60" s="418" t="s">
        <v>48</v>
      </c>
      <c r="B60" s="419"/>
      <c r="C60" s="458"/>
      <c r="D60" s="459"/>
      <c r="E60" s="459"/>
      <c r="F60" s="460"/>
      <c r="G60" s="36">
        <f>G26+G29+G52+G55+G59</f>
        <v>104444688</v>
      </c>
    </row>
    <row r="61" spans="1:9" ht="13.5" thickBot="1" x14ac:dyDescent="0.25"/>
    <row r="62" spans="1:9" ht="13.5" customHeight="1" thickBot="1" x14ac:dyDescent="0.25">
      <c r="A62" s="470" t="s">
        <v>128</v>
      </c>
      <c r="B62" s="471"/>
      <c r="C62" s="471"/>
      <c r="D62" s="471"/>
      <c r="E62" s="471"/>
      <c r="F62" s="471"/>
      <c r="G62" s="472"/>
    </row>
    <row r="63" spans="1:9" ht="12.75" customHeight="1" x14ac:dyDescent="0.2">
      <c r="A63" s="421" t="s">
        <v>0</v>
      </c>
      <c r="B63" s="423" t="s">
        <v>47</v>
      </c>
      <c r="C63" s="473"/>
      <c r="D63" s="474"/>
      <c r="E63" s="474"/>
      <c r="F63" s="475"/>
      <c r="G63" s="213">
        <v>2023</v>
      </c>
    </row>
    <row r="64" spans="1:9" ht="13.5" thickBot="1" x14ac:dyDescent="0.25">
      <c r="A64" s="422"/>
      <c r="B64" s="424"/>
      <c r="C64" s="464"/>
      <c r="D64" s="465"/>
      <c r="E64" s="465"/>
      <c r="F64" s="466"/>
      <c r="G64" s="123" t="s">
        <v>138</v>
      </c>
    </row>
    <row r="65" spans="1:7" ht="42" x14ac:dyDescent="0.2">
      <c r="A65" s="86" t="s">
        <v>11</v>
      </c>
      <c r="B65" s="211" t="s">
        <v>32</v>
      </c>
      <c r="C65" s="440"/>
      <c r="D65" s="441"/>
      <c r="E65" s="448"/>
      <c r="F65" s="81"/>
      <c r="G65" s="21">
        <v>1117670</v>
      </c>
    </row>
    <row r="66" spans="1:7" ht="13.5" thickBot="1" x14ac:dyDescent="0.25">
      <c r="A66" s="207" t="s">
        <v>10</v>
      </c>
      <c r="B66" s="212" t="s">
        <v>131</v>
      </c>
      <c r="C66" s="208"/>
      <c r="D66" s="205"/>
      <c r="E66" s="206"/>
      <c r="F66" s="209"/>
      <c r="G66" s="210">
        <v>1433800</v>
      </c>
    </row>
    <row r="67" spans="1:7" ht="13.5" customHeight="1" thickBot="1" x14ac:dyDescent="0.25">
      <c r="A67" s="420" t="s">
        <v>43</v>
      </c>
      <c r="B67" s="417"/>
      <c r="C67" s="78">
        <f>SUM(C65:C65)</f>
        <v>0</v>
      </c>
      <c r="D67" s="83">
        <f>SUM(D65:D65)</f>
        <v>0</v>
      </c>
      <c r="E67" s="203">
        <f>SUM(E65:E65)</f>
        <v>0</v>
      </c>
      <c r="F67" s="79"/>
      <c r="G67" s="80">
        <f>SUM(G65:G66)</f>
        <v>2551470</v>
      </c>
    </row>
    <row r="68" spans="1:7" ht="13.5" thickBot="1" x14ac:dyDescent="0.25">
      <c r="A68" s="18" t="s">
        <v>12</v>
      </c>
      <c r="B68" s="54" t="s">
        <v>33</v>
      </c>
      <c r="C68" s="126">
        <f>G67</f>
        <v>2551470</v>
      </c>
      <c r="D68" s="147">
        <v>0.13</v>
      </c>
      <c r="E68" s="127">
        <f>SUM(C68*D68)</f>
        <v>331691.10000000003</v>
      </c>
      <c r="F68" s="88"/>
      <c r="G68" s="128">
        <v>281949</v>
      </c>
    </row>
    <row r="69" spans="1:7" ht="13.5" customHeight="1" thickBot="1" x14ac:dyDescent="0.25">
      <c r="A69" s="416" t="s">
        <v>82</v>
      </c>
      <c r="B69" s="417"/>
      <c r="C69" s="78">
        <f>SUM(C68)</f>
        <v>2551470</v>
      </c>
      <c r="D69" s="203">
        <f>SUM(D68)</f>
        <v>0.13</v>
      </c>
      <c r="E69" s="203">
        <f>SUM(E68:E68)</f>
        <v>331691.10000000003</v>
      </c>
      <c r="F69" s="79"/>
      <c r="G69" s="80">
        <f>SUM(G68:G68)</f>
        <v>281949</v>
      </c>
    </row>
    <row r="70" spans="1:7" x14ac:dyDescent="0.2">
      <c r="A70" s="9" t="s">
        <v>15</v>
      </c>
      <c r="B70" s="141" t="s">
        <v>36</v>
      </c>
      <c r="C70" s="440"/>
      <c r="D70" s="441"/>
      <c r="E70" s="185">
        <v>0.27</v>
      </c>
      <c r="F70" s="81"/>
      <c r="G70" s="21"/>
    </row>
    <row r="71" spans="1:7" ht="21.75" thickBot="1" x14ac:dyDescent="0.25">
      <c r="A71" s="9" t="s">
        <v>20</v>
      </c>
      <c r="B71" s="142" t="s">
        <v>40</v>
      </c>
      <c r="C71" s="440"/>
      <c r="D71" s="441"/>
      <c r="E71" s="448"/>
      <c r="F71" s="81"/>
      <c r="G71" s="21"/>
    </row>
    <row r="72" spans="1:7" ht="13.5" customHeight="1" thickBot="1" x14ac:dyDescent="0.25">
      <c r="A72" s="416" t="s">
        <v>45</v>
      </c>
      <c r="B72" s="417"/>
      <c r="C72" s="442"/>
      <c r="D72" s="443"/>
      <c r="E72" s="443"/>
      <c r="F72" s="444"/>
      <c r="G72" s="80">
        <f>SUM(G70:G71)</f>
        <v>0</v>
      </c>
    </row>
    <row r="73" spans="1:7" ht="22.5" customHeight="1" thickBot="1" x14ac:dyDescent="0.25">
      <c r="A73" s="58" t="s">
        <v>129</v>
      </c>
      <c r="B73" s="141" t="s">
        <v>130</v>
      </c>
      <c r="C73" s="440"/>
      <c r="D73" s="441"/>
      <c r="E73" s="185"/>
      <c r="F73" s="81"/>
      <c r="G73" s="21">
        <v>0</v>
      </c>
    </row>
    <row r="74" spans="1:7" ht="13.5" customHeight="1" thickBot="1" x14ac:dyDescent="0.25">
      <c r="A74" s="416" t="s">
        <v>45</v>
      </c>
      <c r="B74" s="417"/>
      <c r="C74" s="442"/>
      <c r="D74" s="443"/>
      <c r="E74" s="443"/>
      <c r="F74" s="444"/>
      <c r="G74" s="80">
        <f>SUM(G73:G73)</f>
        <v>0</v>
      </c>
    </row>
    <row r="75" spans="1:7" ht="13.5" customHeight="1" thickBot="1" x14ac:dyDescent="0.25">
      <c r="A75" s="418" t="s">
        <v>48</v>
      </c>
      <c r="B75" s="419"/>
      <c r="C75" s="445"/>
      <c r="D75" s="446"/>
      <c r="E75" s="446"/>
      <c r="F75" s="447"/>
      <c r="G75" s="204">
        <f>SUM(G72,G69,G67,G74)</f>
        <v>2833419</v>
      </c>
    </row>
    <row r="76" spans="1:7" ht="13.5" thickBot="1" x14ac:dyDescent="0.25"/>
    <row r="77" spans="1:7" ht="13.5" thickBot="1" x14ac:dyDescent="0.25">
      <c r="A77" s="470" t="s">
        <v>150</v>
      </c>
      <c r="B77" s="471"/>
      <c r="C77" s="471"/>
      <c r="D77" s="471"/>
      <c r="E77" s="471"/>
      <c r="F77" s="471"/>
      <c r="G77" s="472"/>
    </row>
    <row r="78" spans="1:7" x14ac:dyDescent="0.2">
      <c r="A78" s="421" t="s">
        <v>0</v>
      </c>
      <c r="B78" s="423" t="s">
        <v>47</v>
      </c>
      <c r="C78" s="473"/>
      <c r="D78" s="474"/>
      <c r="E78" s="474"/>
      <c r="F78" s="475"/>
      <c r="G78" s="213">
        <v>2023</v>
      </c>
    </row>
    <row r="79" spans="1:7" ht="13.5" thickBot="1" x14ac:dyDescent="0.25">
      <c r="A79" s="422"/>
      <c r="B79" s="424"/>
      <c r="C79" s="464"/>
      <c r="D79" s="465"/>
      <c r="E79" s="465"/>
      <c r="F79" s="466"/>
      <c r="G79" s="123" t="s">
        <v>142</v>
      </c>
    </row>
    <row r="80" spans="1:7" ht="32.25" thickBot="1" x14ac:dyDescent="0.25">
      <c r="A80" s="86" t="s">
        <v>129</v>
      </c>
      <c r="B80" s="211" t="s">
        <v>151</v>
      </c>
      <c r="C80" s="440"/>
      <c r="D80" s="441"/>
      <c r="E80" s="448"/>
      <c r="F80" s="81"/>
      <c r="G80" s="21">
        <v>176699</v>
      </c>
    </row>
    <row r="81" spans="1:7" ht="13.5" thickBot="1" x14ac:dyDescent="0.25">
      <c r="A81" s="420" t="s">
        <v>149</v>
      </c>
      <c r="B81" s="417"/>
      <c r="C81" s="78">
        <f>SUM(C80:C80)</f>
        <v>0</v>
      </c>
      <c r="D81" s="83">
        <f>SUM(D80:D80)</f>
        <v>0</v>
      </c>
      <c r="E81" s="203">
        <f>SUM(E80:E80)</f>
        <v>0</v>
      </c>
      <c r="F81" s="79"/>
      <c r="G81" s="80">
        <f>SUM(G80:G80)</f>
        <v>176699</v>
      </c>
    </row>
    <row r="82" spans="1:7" ht="13.5" thickBot="1" x14ac:dyDescent="0.25">
      <c r="A82" s="418" t="s">
        <v>48</v>
      </c>
      <c r="B82" s="419"/>
      <c r="C82" s="445"/>
      <c r="D82" s="446"/>
      <c r="E82" s="446"/>
      <c r="F82" s="447"/>
      <c r="G82" s="204">
        <f>SUM(G81)</f>
        <v>176699</v>
      </c>
    </row>
    <row r="83" spans="1:7" ht="13.5" thickBot="1" x14ac:dyDescent="0.25"/>
    <row r="84" spans="1:7" ht="13.5" thickBot="1" x14ac:dyDescent="0.25">
      <c r="A84" s="27" t="s">
        <v>59</v>
      </c>
      <c r="B84" s="28"/>
      <c r="C84" s="476"/>
      <c r="D84" s="477"/>
      <c r="E84" s="477"/>
      <c r="F84" s="478"/>
      <c r="G84" s="29">
        <f>SUM(G60+G75+G82)</f>
        <v>107454806</v>
      </c>
    </row>
  </sheetData>
  <mergeCells count="79">
    <mergeCell ref="A82:B82"/>
    <mergeCell ref="C82:F82"/>
    <mergeCell ref="C84:F84"/>
    <mergeCell ref="C80:E80"/>
    <mergeCell ref="A81:B81"/>
    <mergeCell ref="C53:F53"/>
    <mergeCell ref="A77:G77"/>
    <mergeCell ref="A78:A79"/>
    <mergeCell ref="B78:B79"/>
    <mergeCell ref="C78:F79"/>
    <mergeCell ref="A67:B67"/>
    <mergeCell ref="A69:B69"/>
    <mergeCell ref="C70:D70"/>
    <mergeCell ref="C71:E71"/>
    <mergeCell ref="A72:B72"/>
    <mergeCell ref="C72:F72"/>
    <mergeCell ref="A62:G62"/>
    <mergeCell ref="A63:A64"/>
    <mergeCell ref="B63:B64"/>
    <mergeCell ref="C63:F64"/>
    <mergeCell ref="C65:E65"/>
    <mergeCell ref="C43:D43"/>
    <mergeCell ref="C34:D34"/>
    <mergeCell ref="C35:D35"/>
    <mergeCell ref="C31:D31"/>
    <mergeCell ref="C40:D40"/>
    <mergeCell ref="C41:D41"/>
    <mergeCell ref="C23:E23"/>
    <mergeCell ref="C24:E24"/>
    <mergeCell ref="C42:D42"/>
    <mergeCell ref="C8:F8"/>
    <mergeCell ref="C13:F13"/>
    <mergeCell ref="C30:D30"/>
    <mergeCell ref="C14:E14"/>
    <mergeCell ref="C22:E22"/>
    <mergeCell ref="A1:G1"/>
    <mergeCell ref="A2:G2"/>
    <mergeCell ref="A4:G4"/>
    <mergeCell ref="A5:G5"/>
    <mergeCell ref="A6:A7"/>
    <mergeCell ref="B6:B7"/>
    <mergeCell ref="C6:F7"/>
    <mergeCell ref="A26:B26"/>
    <mergeCell ref="A29:B29"/>
    <mergeCell ref="A52:B52"/>
    <mergeCell ref="A60:B60"/>
    <mergeCell ref="C54:F54"/>
    <mergeCell ref="C32:F32"/>
    <mergeCell ref="C58:E58"/>
    <mergeCell ref="A57:B57"/>
    <mergeCell ref="A59:B59"/>
    <mergeCell ref="C59:F59"/>
    <mergeCell ref="A55:B55"/>
    <mergeCell ref="C55:F55"/>
    <mergeCell ref="C56:E56"/>
    <mergeCell ref="C52:F52"/>
    <mergeCell ref="C60:F60"/>
    <mergeCell ref="C51:E51"/>
    <mergeCell ref="C50:F50"/>
    <mergeCell ref="C47:E47"/>
    <mergeCell ref="C48:E48"/>
    <mergeCell ref="C49:E49"/>
    <mergeCell ref="C15:E15"/>
    <mergeCell ref="C16:E16"/>
    <mergeCell ref="C36:F36"/>
    <mergeCell ref="C46:F46"/>
    <mergeCell ref="C39:F39"/>
    <mergeCell ref="C45:E45"/>
    <mergeCell ref="C44:F44"/>
    <mergeCell ref="C37:D37"/>
    <mergeCell ref="C33:D33"/>
    <mergeCell ref="C25:E25"/>
    <mergeCell ref="C20:E20"/>
    <mergeCell ref="C21:E21"/>
    <mergeCell ref="C73:D73"/>
    <mergeCell ref="A74:B74"/>
    <mergeCell ref="C74:F74"/>
    <mergeCell ref="A75:B75"/>
    <mergeCell ref="C75:F75"/>
  </mergeCells>
  <pageMargins left="0.70866141732283472" right="0.70866141732283472" top="0.74803149606299213" bottom="0.74803149606299213" header="0.31496062992125984" footer="0.31496062992125984"/>
  <pageSetup paperSize="8" scale="8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3"/>
  <sheetViews>
    <sheetView topLeftCell="A22" workbookViewId="0">
      <selection activeCell="G10" sqref="G10"/>
    </sheetView>
  </sheetViews>
  <sheetFormatPr defaultRowHeight="12.75" x14ac:dyDescent="0.2"/>
  <cols>
    <col min="2" max="2" width="29.85546875" customWidth="1"/>
    <col min="3" max="3" width="9.5703125" customWidth="1"/>
    <col min="7" max="7" width="14" bestFit="1" customWidth="1"/>
    <col min="10" max="10" width="23.7109375" customWidth="1"/>
    <col min="11" max="11" width="9.7109375" customWidth="1"/>
    <col min="15" max="15" width="10.140625" bestFit="1" customWidth="1"/>
  </cols>
  <sheetData>
    <row r="1" spans="1:15" ht="15.75" x14ac:dyDescent="0.25">
      <c r="A1" s="358" t="s">
        <v>143</v>
      </c>
      <c r="B1" s="358"/>
      <c r="C1" s="358"/>
      <c r="D1" s="358"/>
      <c r="E1" s="358"/>
      <c r="F1" s="358"/>
      <c r="G1" s="358"/>
    </row>
    <row r="2" spans="1:15" ht="15.75" x14ac:dyDescent="0.25">
      <c r="A2" s="358" t="s">
        <v>76</v>
      </c>
      <c r="B2" s="358"/>
      <c r="C2" s="358"/>
      <c r="D2" s="358"/>
      <c r="E2" s="358"/>
      <c r="F2" s="358"/>
      <c r="G2" s="358"/>
    </row>
    <row r="3" spans="1:15" x14ac:dyDescent="0.2">
      <c r="G3" s="19" t="s">
        <v>58</v>
      </c>
    </row>
    <row r="4" spans="1:15" ht="13.5" thickBot="1" x14ac:dyDescent="0.25">
      <c r="A4" s="433" t="s">
        <v>49</v>
      </c>
      <c r="B4" s="433"/>
      <c r="C4" s="433"/>
      <c r="D4" s="433"/>
      <c r="E4" s="433"/>
      <c r="F4" s="433"/>
      <c r="G4" s="433"/>
    </row>
    <row r="5" spans="1:15" ht="13.5" thickBot="1" x14ac:dyDescent="0.25">
      <c r="A5" s="435" t="s">
        <v>161</v>
      </c>
      <c r="B5" s="436"/>
      <c r="C5" s="437"/>
      <c r="D5" s="437"/>
      <c r="E5" s="437"/>
      <c r="F5" s="437"/>
      <c r="G5" s="438"/>
      <c r="I5" s="435" t="s">
        <v>162</v>
      </c>
      <c r="J5" s="436"/>
      <c r="K5" s="437"/>
      <c r="L5" s="437"/>
      <c r="M5" s="437"/>
      <c r="N5" s="437"/>
      <c r="O5" s="438"/>
    </row>
    <row r="6" spans="1:15" x14ac:dyDescent="0.2">
      <c r="A6" s="439" t="s">
        <v>0</v>
      </c>
      <c r="B6" s="434" t="s">
        <v>47</v>
      </c>
      <c r="C6" s="461">
        <v>2021</v>
      </c>
      <c r="D6" s="462"/>
      <c r="E6" s="462"/>
      <c r="F6" s="463"/>
      <c r="G6" s="124">
        <v>2023</v>
      </c>
      <c r="I6" s="439" t="s">
        <v>0</v>
      </c>
      <c r="J6" s="434" t="s">
        <v>47</v>
      </c>
      <c r="K6" s="461">
        <v>2021</v>
      </c>
      <c r="L6" s="462"/>
      <c r="M6" s="462"/>
      <c r="N6" s="463"/>
      <c r="O6" s="124">
        <v>2023</v>
      </c>
    </row>
    <row r="7" spans="1:15" ht="13.5" thickBot="1" x14ac:dyDescent="0.25">
      <c r="A7" s="422"/>
      <c r="B7" s="424"/>
      <c r="C7" s="464"/>
      <c r="D7" s="465"/>
      <c r="E7" s="465"/>
      <c r="F7" s="466"/>
      <c r="G7" s="123" t="s">
        <v>68</v>
      </c>
      <c r="I7" s="422"/>
      <c r="J7" s="424"/>
      <c r="K7" s="464"/>
      <c r="L7" s="465"/>
      <c r="M7" s="465"/>
      <c r="N7" s="466"/>
      <c r="O7" s="123" t="s">
        <v>68</v>
      </c>
    </row>
    <row r="8" spans="1:15" ht="21" x14ac:dyDescent="0.2">
      <c r="A8" s="18" t="s">
        <v>4</v>
      </c>
      <c r="B8" s="54" t="s">
        <v>25</v>
      </c>
      <c r="C8" s="440"/>
      <c r="D8" s="441"/>
      <c r="E8" s="441"/>
      <c r="F8" s="448"/>
      <c r="G8" s="21">
        <f>SUM(G9:G9)</f>
        <v>42750000</v>
      </c>
      <c r="H8" s="182"/>
      <c r="I8" s="18" t="s">
        <v>4</v>
      </c>
      <c r="J8" s="54" t="s">
        <v>25</v>
      </c>
      <c r="K8" s="440"/>
      <c r="L8" s="441"/>
      <c r="M8" s="441"/>
      <c r="N8" s="448"/>
      <c r="O8" s="21">
        <f>SUM(O9:O9)</f>
        <v>35050000</v>
      </c>
    </row>
    <row r="9" spans="1:15" ht="21" x14ac:dyDescent="0.2">
      <c r="A9" s="18"/>
      <c r="B9" s="54" t="s">
        <v>25</v>
      </c>
      <c r="C9" s="184" t="s">
        <v>137</v>
      </c>
      <c r="D9" s="150"/>
      <c r="E9" s="150"/>
      <c r="F9" s="183"/>
      <c r="G9" s="21">
        <v>42750000</v>
      </c>
      <c r="H9" s="182"/>
      <c r="I9" s="18"/>
      <c r="J9" s="54" t="s">
        <v>25</v>
      </c>
      <c r="K9" s="184" t="s">
        <v>163</v>
      </c>
      <c r="L9" s="150"/>
      <c r="M9" s="150"/>
      <c r="N9" s="183"/>
      <c r="O9" s="21">
        <v>35050000</v>
      </c>
    </row>
    <row r="10" spans="1:15" x14ac:dyDescent="0.2">
      <c r="A10" s="58" t="s">
        <v>86</v>
      </c>
      <c r="B10" s="55" t="s">
        <v>87</v>
      </c>
      <c r="C10" s="440"/>
      <c r="D10" s="441"/>
      <c r="E10" s="441"/>
      <c r="F10" s="448"/>
      <c r="G10" s="21"/>
      <c r="H10" s="70"/>
      <c r="I10" s="58" t="s">
        <v>86</v>
      </c>
      <c r="J10" s="55" t="s">
        <v>87</v>
      </c>
      <c r="K10" s="440"/>
      <c r="L10" s="441"/>
      <c r="M10" s="441"/>
      <c r="N10" s="448"/>
      <c r="O10" s="21"/>
    </row>
    <row r="11" spans="1:15" ht="31.5" x14ac:dyDescent="0.2">
      <c r="A11" s="58" t="s">
        <v>6</v>
      </c>
      <c r="B11" s="55" t="s">
        <v>27</v>
      </c>
      <c r="C11" s="440"/>
      <c r="D11" s="441"/>
      <c r="E11" s="448"/>
      <c r="F11" s="81"/>
      <c r="G11" s="21">
        <v>369300</v>
      </c>
      <c r="H11" s="50"/>
      <c r="I11" s="58" t="s">
        <v>6</v>
      </c>
      <c r="J11" s="55" t="s">
        <v>27</v>
      </c>
      <c r="K11" s="440"/>
      <c r="L11" s="441"/>
      <c r="M11" s="448"/>
      <c r="N11" s="81"/>
      <c r="O11" s="21">
        <v>0</v>
      </c>
    </row>
    <row r="12" spans="1:15" x14ac:dyDescent="0.2">
      <c r="A12" s="58" t="s">
        <v>7</v>
      </c>
      <c r="B12" s="55" t="s">
        <v>28</v>
      </c>
      <c r="C12" s="440"/>
      <c r="D12" s="441"/>
      <c r="E12" s="448"/>
      <c r="F12" s="81"/>
      <c r="G12" s="21">
        <v>1380000</v>
      </c>
      <c r="H12" s="50"/>
      <c r="I12" s="58" t="s">
        <v>7</v>
      </c>
      <c r="J12" s="55" t="s">
        <v>28</v>
      </c>
      <c r="K12" s="440"/>
      <c r="L12" s="441"/>
      <c r="M12" s="448"/>
      <c r="N12" s="81"/>
      <c r="O12" s="21"/>
    </row>
    <row r="13" spans="1:15" x14ac:dyDescent="0.2">
      <c r="A13" s="58" t="s">
        <v>78</v>
      </c>
      <c r="B13" s="55" t="s">
        <v>79</v>
      </c>
      <c r="C13" s="440"/>
      <c r="D13" s="441"/>
      <c r="E13" s="448"/>
      <c r="F13" s="81"/>
      <c r="G13" s="21">
        <f>SUM(G14:G15)</f>
        <v>3297072</v>
      </c>
      <c r="H13" s="70"/>
      <c r="I13" s="58" t="s">
        <v>78</v>
      </c>
      <c r="J13" s="55" t="s">
        <v>79</v>
      </c>
      <c r="K13" s="440"/>
      <c r="L13" s="441"/>
      <c r="M13" s="448"/>
      <c r="N13" s="81"/>
      <c r="O13" s="21">
        <f>SUM(O14:O15)</f>
        <v>2375000</v>
      </c>
    </row>
    <row r="14" spans="1:15" x14ac:dyDescent="0.2">
      <c r="A14" s="58"/>
      <c r="B14" s="55" t="s">
        <v>174</v>
      </c>
      <c r="C14" s="184"/>
      <c r="D14" s="150"/>
      <c r="E14" s="183"/>
      <c r="F14" s="81"/>
      <c r="G14" s="21">
        <v>2172072</v>
      </c>
      <c r="H14" s="70"/>
      <c r="I14" s="58"/>
      <c r="J14" s="55" t="s">
        <v>174</v>
      </c>
      <c r="K14" s="184"/>
      <c r="L14" s="150"/>
      <c r="M14" s="183"/>
      <c r="N14" s="81"/>
      <c r="O14" s="21">
        <v>1550000</v>
      </c>
    </row>
    <row r="15" spans="1:15" x14ac:dyDescent="0.2">
      <c r="A15" s="58"/>
      <c r="B15" s="55" t="s">
        <v>175</v>
      </c>
      <c r="C15" s="184"/>
      <c r="D15" s="150"/>
      <c r="E15" s="183"/>
      <c r="F15" s="81"/>
      <c r="G15" s="21">
        <v>1125000</v>
      </c>
      <c r="H15" s="70"/>
      <c r="I15" s="58"/>
      <c r="J15" s="55" t="s">
        <v>175</v>
      </c>
      <c r="K15" s="184"/>
      <c r="L15" s="150"/>
      <c r="M15" s="183"/>
      <c r="N15" s="81"/>
      <c r="O15" s="21">
        <v>825000</v>
      </c>
    </row>
    <row r="16" spans="1:15" x14ac:dyDescent="0.2">
      <c r="A16" s="58" t="s">
        <v>8</v>
      </c>
      <c r="B16" s="55" t="s">
        <v>29</v>
      </c>
      <c r="C16" s="440"/>
      <c r="D16" s="441"/>
      <c r="E16" s="448"/>
      <c r="F16" s="81"/>
      <c r="G16" s="21">
        <v>180000</v>
      </c>
      <c r="I16" s="58" t="s">
        <v>8</v>
      </c>
      <c r="J16" s="55" t="s">
        <v>29</v>
      </c>
      <c r="K16" s="440"/>
      <c r="L16" s="441"/>
      <c r="M16" s="448"/>
      <c r="N16" s="81"/>
      <c r="O16" s="21">
        <v>200000</v>
      </c>
    </row>
    <row r="17" spans="1:15" x14ac:dyDescent="0.2">
      <c r="A17" s="9" t="s">
        <v>9</v>
      </c>
      <c r="B17" s="55" t="s">
        <v>30</v>
      </c>
      <c r="C17" s="440"/>
      <c r="D17" s="441"/>
      <c r="E17" s="448"/>
      <c r="F17" s="81"/>
      <c r="G17" s="21"/>
      <c r="H17" s="70"/>
      <c r="I17" s="9" t="s">
        <v>9</v>
      </c>
      <c r="J17" s="55" t="s">
        <v>30</v>
      </c>
      <c r="K17" s="440"/>
      <c r="L17" s="441"/>
      <c r="M17" s="448"/>
      <c r="N17" s="81"/>
      <c r="O17" s="21"/>
    </row>
    <row r="18" spans="1:15" x14ac:dyDescent="0.2">
      <c r="A18" s="58" t="s">
        <v>80</v>
      </c>
      <c r="B18" s="74" t="s">
        <v>81</v>
      </c>
      <c r="C18" s="440"/>
      <c r="D18" s="441"/>
      <c r="E18" s="448"/>
      <c r="F18" s="81"/>
      <c r="G18" s="21"/>
      <c r="I18" s="58" t="s">
        <v>80</v>
      </c>
      <c r="J18" s="74" t="s">
        <v>81</v>
      </c>
      <c r="K18" s="440"/>
      <c r="L18" s="441"/>
      <c r="M18" s="448"/>
      <c r="N18" s="81"/>
      <c r="O18" s="21"/>
    </row>
    <row r="19" spans="1:15" ht="21" x14ac:dyDescent="0.2">
      <c r="A19" s="9" t="s">
        <v>10</v>
      </c>
      <c r="B19" s="55" t="s">
        <v>31</v>
      </c>
      <c r="C19" s="440"/>
      <c r="D19" s="441"/>
      <c r="E19" s="448"/>
      <c r="F19" s="81"/>
      <c r="G19" s="21">
        <v>1050000</v>
      </c>
      <c r="H19" s="70"/>
      <c r="I19" s="9" t="s">
        <v>10</v>
      </c>
      <c r="J19" s="55" t="s">
        <v>31</v>
      </c>
      <c r="K19" s="440"/>
      <c r="L19" s="441"/>
      <c r="M19" s="448"/>
      <c r="N19" s="81"/>
      <c r="O19" s="21">
        <v>1250000</v>
      </c>
    </row>
    <row r="20" spans="1:15" ht="42" x14ac:dyDescent="0.2">
      <c r="A20" s="37" t="s">
        <v>11</v>
      </c>
      <c r="B20" s="77" t="s">
        <v>32</v>
      </c>
      <c r="C20" s="440"/>
      <c r="D20" s="441"/>
      <c r="E20" s="448"/>
      <c r="F20" s="89"/>
      <c r="G20" s="22"/>
      <c r="H20" s="82"/>
      <c r="I20" s="37" t="s">
        <v>11</v>
      </c>
      <c r="J20" s="77" t="s">
        <v>32</v>
      </c>
      <c r="K20" s="440"/>
      <c r="L20" s="441"/>
      <c r="M20" s="448"/>
      <c r="N20" s="89"/>
      <c r="O20" s="22"/>
    </row>
    <row r="21" spans="1:15" ht="13.5" thickBot="1" x14ac:dyDescent="0.25">
      <c r="A21" s="7" t="s">
        <v>56</v>
      </c>
      <c r="B21" s="68" t="s">
        <v>57</v>
      </c>
      <c r="C21" s="449"/>
      <c r="D21" s="450"/>
      <c r="E21" s="451"/>
      <c r="F21" s="89"/>
      <c r="G21" s="22"/>
      <c r="I21" s="7" t="s">
        <v>56</v>
      </c>
      <c r="J21" s="68" t="s">
        <v>57</v>
      </c>
      <c r="K21" s="449"/>
      <c r="L21" s="450"/>
      <c r="M21" s="451"/>
      <c r="N21" s="89"/>
      <c r="O21" s="22"/>
    </row>
    <row r="22" spans="1:15" ht="13.5" thickBot="1" x14ac:dyDescent="0.25">
      <c r="A22" s="420" t="s">
        <v>43</v>
      </c>
      <c r="B22" s="417"/>
      <c r="C22" s="78">
        <f>SUM(C8:C21)</f>
        <v>0</v>
      </c>
      <c r="D22" s="78">
        <f>SUM(D8:D21)</f>
        <v>0</v>
      </c>
      <c r="E22" s="78">
        <f>SUM(E8:E21)</f>
        <v>0</v>
      </c>
      <c r="F22" s="79"/>
      <c r="G22" s="80">
        <f>SUM(G8+G11+G12+G13+G19+G16)</f>
        <v>49026372</v>
      </c>
      <c r="I22" s="420" t="s">
        <v>43</v>
      </c>
      <c r="J22" s="417"/>
      <c r="K22" s="78">
        <f>SUM(K8:K21)</f>
        <v>0</v>
      </c>
      <c r="L22" s="78">
        <f>SUM(L8:L21)</f>
        <v>0</v>
      </c>
      <c r="M22" s="78">
        <f>SUM(M8:M21)</f>
        <v>0</v>
      </c>
      <c r="N22" s="79"/>
      <c r="O22" s="80">
        <f>SUM(O8+O11+O12+O13+O19+O16)</f>
        <v>38875000</v>
      </c>
    </row>
    <row r="23" spans="1:15" x14ac:dyDescent="0.2">
      <c r="A23" s="18" t="s">
        <v>12</v>
      </c>
      <c r="B23" s="54" t="s">
        <v>33</v>
      </c>
      <c r="C23" s="126">
        <f>G22</f>
        <v>49026372</v>
      </c>
      <c r="D23" s="147">
        <v>0.13</v>
      </c>
      <c r="E23" s="127">
        <f>SUM(C23*D23)</f>
        <v>6373428.3600000003</v>
      </c>
      <c r="F23" s="88"/>
      <c r="G23" s="128">
        <v>6660000</v>
      </c>
      <c r="I23" s="18" t="s">
        <v>12</v>
      </c>
      <c r="J23" s="54" t="s">
        <v>33</v>
      </c>
      <c r="K23" s="126">
        <f>O22</f>
        <v>38875000</v>
      </c>
      <c r="L23" s="147">
        <v>0.13</v>
      </c>
      <c r="M23" s="127">
        <f>SUM(K23*L23)</f>
        <v>5053750</v>
      </c>
      <c r="N23" s="88"/>
      <c r="O23" s="128">
        <v>5060000</v>
      </c>
    </row>
    <row r="24" spans="1:15" ht="21.75" thickBot="1" x14ac:dyDescent="0.25">
      <c r="A24" s="10" t="s">
        <v>13</v>
      </c>
      <c r="B24" s="56" t="s">
        <v>34</v>
      </c>
      <c r="C24" s="129">
        <f>SUM(G13)</f>
        <v>3297072</v>
      </c>
      <c r="D24" s="189">
        <v>0.15</v>
      </c>
      <c r="E24" s="172">
        <f>SUM(C24*D24)</f>
        <v>494560.8</v>
      </c>
      <c r="F24" s="61"/>
      <c r="G24" s="22">
        <v>510000</v>
      </c>
      <c r="I24" s="10" t="s">
        <v>13</v>
      </c>
      <c r="J24" s="56" t="s">
        <v>34</v>
      </c>
      <c r="K24" s="129">
        <f>SUM(O13)</f>
        <v>2375000</v>
      </c>
      <c r="L24" s="189">
        <v>0.15</v>
      </c>
      <c r="M24" s="172">
        <f>SUM(K24*L24)</f>
        <v>356250</v>
      </c>
      <c r="N24" s="61"/>
      <c r="O24" s="22">
        <v>360000</v>
      </c>
    </row>
    <row r="25" spans="1:15" ht="13.5" thickBot="1" x14ac:dyDescent="0.25">
      <c r="A25" s="416" t="s">
        <v>82</v>
      </c>
      <c r="B25" s="417"/>
      <c r="C25" s="78">
        <f>C23+C24</f>
        <v>52323444</v>
      </c>
      <c r="D25" s="78">
        <f>D23+D24</f>
        <v>0.28000000000000003</v>
      </c>
      <c r="E25" s="78">
        <f>E23+E24</f>
        <v>6867989.1600000001</v>
      </c>
      <c r="F25" s="79"/>
      <c r="G25" s="80">
        <f>SUM(G23:G24)</f>
        <v>7170000</v>
      </c>
      <c r="H25" s="188"/>
      <c r="I25" s="416" t="s">
        <v>82</v>
      </c>
      <c r="J25" s="417"/>
      <c r="K25" s="78">
        <f>K23+K24</f>
        <v>41250000</v>
      </c>
      <c r="L25" s="78">
        <f>L23+L24</f>
        <v>0.28000000000000003</v>
      </c>
      <c r="M25" s="78">
        <f>M23+M24</f>
        <v>5410000</v>
      </c>
      <c r="N25" s="79"/>
      <c r="O25" s="80">
        <f>SUM(O23:O24)</f>
        <v>5420000</v>
      </c>
    </row>
    <row r="26" spans="1:15" x14ac:dyDescent="0.2">
      <c r="A26" s="84" t="s">
        <v>14</v>
      </c>
      <c r="B26" s="140" t="s">
        <v>35</v>
      </c>
      <c r="C26" s="440"/>
      <c r="D26" s="441"/>
      <c r="E26" s="185">
        <v>0.27</v>
      </c>
      <c r="F26" s="81"/>
      <c r="G26" s="139">
        <f>(100000*0.5)</f>
        <v>50000</v>
      </c>
      <c r="H26" s="31"/>
      <c r="I26" s="84" t="s">
        <v>14</v>
      </c>
      <c r="J26" s="140" t="s">
        <v>35</v>
      </c>
      <c r="K26" s="440"/>
      <c r="L26" s="441"/>
      <c r="M26" s="185">
        <v>0.27</v>
      </c>
      <c r="N26" s="81"/>
      <c r="O26" s="139">
        <f>(100000*0.5)</f>
        <v>50000</v>
      </c>
    </row>
    <row r="27" spans="1:15" ht="21" x14ac:dyDescent="0.2">
      <c r="A27" s="9" t="s">
        <v>15</v>
      </c>
      <c r="B27" s="141" t="s">
        <v>36</v>
      </c>
      <c r="C27" s="440"/>
      <c r="D27" s="441"/>
      <c r="E27" s="185">
        <v>0.27</v>
      </c>
      <c r="F27" s="81"/>
      <c r="G27" s="138">
        <f>(100000*0.5)</f>
        <v>50000</v>
      </c>
      <c r="H27" s="31"/>
      <c r="I27" s="9" t="s">
        <v>15</v>
      </c>
      <c r="J27" s="141" t="s">
        <v>36</v>
      </c>
      <c r="K27" s="440"/>
      <c r="L27" s="441"/>
      <c r="M27" s="185">
        <v>0.27</v>
      </c>
      <c r="N27" s="81"/>
      <c r="O27" s="138">
        <f>(100000*0.5)</f>
        <v>50000</v>
      </c>
    </row>
    <row r="28" spans="1:15" ht="21" x14ac:dyDescent="0.2">
      <c r="A28" s="58" t="s">
        <v>83</v>
      </c>
      <c r="B28" s="141" t="s">
        <v>84</v>
      </c>
      <c r="C28" s="440"/>
      <c r="D28" s="441"/>
      <c r="E28" s="441"/>
      <c r="F28" s="448"/>
      <c r="G28" s="138">
        <f>SUM(G29:G31)</f>
        <v>135458</v>
      </c>
      <c r="H28" s="31"/>
      <c r="I28" s="58" t="s">
        <v>83</v>
      </c>
      <c r="J28" s="141" t="s">
        <v>84</v>
      </c>
      <c r="K28" s="440"/>
      <c r="L28" s="441"/>
      <c r="M28" s="441"/>
      <c r="N28" s="448"/>
      <c r="O28" s="138">
        <f>SUM(O29:O31)</f>
        <v>135458</v>
      </c>
    </row>
    <row r="29" spans="1:15" x14ac:dyDescent="0.2">
      <c r="A29" s="58"/>
      <c r="B29" s="141" t="s">
        <v>107</v>
      </c>
      <c r="C29" s="440">
        <f>(5000*0.5)</f>
        <v>2500</v>
      </c>
      <c r="D29" s="441"/>
      <c r="E29" s="185">
        <v>0.05</v>
      </c>
      <c r="F29" s="81">
        <v>12</v>
      </c>
      <c r="G29" s="21">
        <f>SUM(C29*F29)</f>
        <v>30000</v>
      </c>
      <c r="H29" s="31"/>
      <c r="I29" s="58"/>
      <c r="J29" s="141" t="s">
        <v>107</v>
      </c>
      <c r="K29" s="440">
        <f>(5000*0.5)</f>
        <v>2500</v>
      </c>
      <c r="L29" s="441"/>
      <c r="M29" s="185">
        <v>0.05</v>
      </c>
      <c r="N29" s="81">
        <v>12</v>
      </c>
      <c r="O29" s="21">
        <f t="shared" ref="O29:O30" si="0">SUM(K29*N29)</f>
        <v>30000</v>
      </c>
    </row>
    <row r="30" spans="1:15" x14ac:dyDescent="0.2">
      <c r="A30" s="58"/>
      <c r="B30" s="141" t="s">
        <v>104</v>
      </c>
      <c r="C30" s="440">
        <f>(0.5*50400)</f>
        <v>25200</v>
      </c>
      <c r="D30" s="441"/>
      <c r="E30" s="185">
        <v>0.05</v>
      </c>
      <c r="F30" s="81">
        <v>4</v>
      </c>
      <c r="G30" s="21">
        <f t="shared" ref="G30" si="1">SUM(C30*F30)</f>
        <v>100800</v>
      </c>
      <c r="H30" s="31"/>
      <c r="I30" s="58"/>
      <c r="J30" s="141" t="s">
        <v>104</v>
      </c>
      <c r="K30" s="440">
        <f>(50400*0.5)</f>
        <v>25200</v>
      </c>
      <c r="L30" s="441"/>
      <c r="M30" s="185">
        <v>0.05</v>
      </c>
      <c r="N30" s="81">
        <v>4</v>
      </c>
      <c r="O30" s="21">
        <f t="shared" si="0"/>
        <v>100800</v>
      </c>
    </row>
    <row r="31" spans="1:15" x14ac:dyDescent="0.2">
      <c r="A31" s="58"/>
      <c r="B31" s="141" t="s">
        <v>106</v>
      </c>
      <c r="C31" s="440">
        <f>(9316*0.5)</f>
        <v>4658</v>
      </c>
      <c r="D31" s="441"/>
      <c r="E31" s="185">
        <v>0.05</v>
      </c>
      <c r="F31" s="81">
        <v>1</v>
      </c>
      <c r="G31" s="21">
        <f>SUM(C31*F31)</f>
        <v>4658</v>
      </c>
      <c r="H31" s="31"/>
      <c r="I31" s="58"/>
      <c r="J31" s="141" t="s">
        <v>106</v>
      </c>
      <c r="K31" s="440">
        <f>(9316*0.5)</f>
        <v>4658</v>
      </c>
      <c r="L31" s="441"/>
      <c r="M31" s="185">
        <v>0.05</v>
      </c>
      <c r="N31" s="81">
        <v>1</v>
      </c>
      <c r="O31" s="21">
        <f>SUM(K31*N31)</f>
        <v>4658</v>
      </c>
    </row>
    <row r="32" spans="1:15" ht="21" x14ac:dyDescent="0.2">
      <c r="A32" s="9" t="s">
        <v>16</v>
      </c>
      <c r="B32" s="142" t="s">
        <v>85</v>
      </c>
      <c r="C32" s="440"/>
      <c r="D32" s="441"/>
      <c r="E32" s="441"/>
      <c r="F32" s="448"/>
      <c r="G32" s="138">
        <f>SUM(G33:G34)</f>
        <v>20000</v>
      </c>
      <c r="H32" s="31"/>
      <c r="I32" s="9" t="s">
        <v>16</v>
      </c>
      <c r="J32" s="142" t="s">
        <v>85</v>
      </c>
      <c r="K32" s="440"/>
      <c r="L32" s="441"/>
      <c r="M32" s="441"/>
      <c r="N32" s="448"/>
      <c r="O32" s="138">
        <f>SUM(O33:O34)</f>
        <v>20000</v>
      </c>
    </row>
    <row r="33" spans="1:15" x14ac:dyDescent="0.2">
      <c r="A33" s="35"/>
      <c r="B33" s="142" t="s">
        <v>105</v>
      </c>
      <c r="C33" s="440">
        <f>(3000*0.5)</f>
        <v>1500</v>
      </c>
      <c r="D33" s="441"/>
      <c r="E33" s="185">
        <v>0.27</v>
      </c>
      <c r="F33" s="81">
        <v>12</v>
      </c>
      <c r="G33" s="21">
        <f>SUM(C33*F33)</f>
        <v>18000</v>
      </c>
      <c r="H33" s="31"/>
      <c r="I33" s="35"/>
      <c r="J33" s="142" t="s">
        <v>105</v>
      </c>
      <c r="K33" s="440">
        <f>(3000*0.5)</f>
        <v>1500</v>
      </c>
      <c r="L33" s="441"/>
      <c r="M33" s="185">
        <v>0.27</v>
      </c>
      <c r="N33" s="81">
        <v>12</v>
      </c>
      <c r="O33" s="21">
        <f>SUM(K33*N33)</f>
        <v>18000</v>
      </c>
    </row>
    <row r="34" spans="1:15" x14ac:dyDescent="0.2">
      <c r="A34" s="35"/>
      <c r="B34" s="142" t="s">
        <v>106</v>
      </c>
      <c r="C34" s="184"/>
      <c r="D34" s="150"/>
      <c r="E34" s="186">
        <v>0.27</v>
      </c>
      <c r="F34" s="183"/>
      <c r="G34" s="21">
        <f>(0.5*4000)</f>
        <v>2000</v>
      </c>
      <c r="H34" s="31"/>
      <c r="I34" s="35"/>
      <c r="J34" s="142" t="s">
        <v>106</v>
      </c>
      <c r="K34" s="184"/>
      <c r="L34" s="150"/>
      <c r="M34" s="186">
        <v>0.27</v>
      </c>
      <c r="N34" s="183"/>
      <c r="O34" s="21">
        <f>(4000*0.5)</f>
        <v>2000</v>
      </c>
    </row>
    <row r="35" spans="1:15" ht="21" x14ac:dyDescent="0.2">
      <c r="A35" s="9" t="s">
        <v>17</v>
      </c>
      <c r="B35" s="142" t="s">
        <v>37</v>
      </c>
      <c r="C35" s="440"/>
      <c r="D35" s="441"/>
      <c r="E35" s="441"/>
      <c r="F35" s="448"/>
      <c r="G35" s="138">
        <f>SUM(G36:G39)</f>
        <v>430000</v>
      </c>
      <c r="H35" s="31"/>
      <c r="I35" s="9" t="s">
        <v>17</v>
      </c>
      <c r="J35" s="142" t="s">
        <v>37</v>
      </c>
      <c r="K35" s="440"/>
      <c r="L35" s="441"/>
      <c r="M35" s="441"/>
      <c r="N35" s="448"/>
      <c r="O35" s="138">
        <f>SUM(O36:O39)</f>
        <v>430000</v>
      </c>
    </row>
    <row r="36" spans="1:15" x14ac:dyDescent="0.2">
      <c r="A36" s="9"/>
      <c r="B36" s="141" t="s">
        <v>108</v>
      </c>
      <c r="C36" s="440">
        <f>(200000*0.5)</f>
        <v>100000</v>
      </c>
      <c r="D36" s="441"/>
      <c r="E36" s="187" t="s">
        <v>125</v>
      </c>
      <c r="F36" s="81">
        <v>2</v>
      </c>
      <c r="G36" s="21">
        <f>SUM(C36*F36)</f>
        <v>200000</v>
      </c>
      <c r="H36" s="31"/>
      <c r="I36" s="9"/>
      <c r="J36" s="141" t="s">
        <v>108</v>
      </c>
      <c r="K36" s="440">
        <f>(200000*0.5)</f>
        <v>100000</v>
      </c>
      <c r="L36" s="441"/>
      <c r="M36" s="187" t="s">
        <v>125</v>
      </c>
      <c r="N36" s="81">
        <v>2</v>
      </c>
      <c r="O36" s="21">
        <f>SUM(K36*N36)</f>
        <v>200000</v>
      </c>
    </row>
    <row r="37" spans="1:15" x14ac:dyDescent="0.2">
      <c r="A37" s="9"/>
      <c r="B37" s="141" t="s">
        <v>124</v>
      </c>
      <c r="C37" s="440"/>
      <c r="D37" s="441"/>
      <c r="E37" s="187" t="s">
        <v>125</v>
      </c>
      <c r="F37" s="81"/>
      <c r="G37" s="21">
        <v>0</v>
      </c>
      <c r="H37" s="31"/>
      <c r="I37" s="9"/>
      <c r="J37" s="141" t="s">
        <v>124</v>
      </c>
      <c r="K37" s="440"/>
      <c r="L37" s="441"/>
      <c r="M37" s="187" t="s">
        <v>125</v>
      </c>
      <c r="N37" s="81"/>
      <c r="O37" s="21">
        <v>0</v>
      </c>
    </row>
    <row r="38" spans="1:15" x14ac:dyDescent="0.2">
      <c r="A38" s="9"/>
      <c r="B38" s="141" t="s">
        <v>126</v>
      </c>
      <c r="C38" s="440">
        <f>(90000*0.5)</f>
        <v>45000</v>
      </c>
      <c r="D38" s="441"/>
      <c r="E38" s="187">
        <v>0.27</v>
      </c>
      <c r="F38" s="81">
        <v>4</v>
      </c>
      <c r="G38" s="21">
        <f>SUM(C38*F38)</f>
        <v>180000</v>
      </c>
      <c r="H38" s="31"/>
      <c r="I38" s="9"/>
      <c r="J38" s="141" t="s">
        <v>126</v>
      </c>
      <c r="K38" s="440">
        <f>(90000*0.5)</f>
        <v>45000</v>
      </c>
      <c r="L38" s="441"/>
      <c r="M38" s="187">
        <v>0.27</v>
      </c>
      <c r="N38" s="81">
        <v>4</v>
      </c>
      <c r="O38" s="21">
        <f>SUM(K38*N38)</f>
        <v>180000</v>
      </c>
    </row>
    <row r="39" spans="1:15" x14ac:dyDescent="0.2">
      <c r="A39" s="9"/>
      <c r="B39" s="141" t="s">
        <v>109</v>
      </c>
      <c r="C39" s="440">
        <f>(100000*0.5)</f>
        <v>50000</v>
      </c>
      <c r="D39" s="441"/>
      <c r="E39" s="187" t="s">
        <v>125</v>
      </c>
      <c r="F39" s="81">
        <v>1</v>
      </c>
      <c r="G39" s="21">
        <f>SUM(C39*F39)</f>
        <v>50000</v>
      </c>
      <c r="H39" s="31"/>
      <c r="I39" s="9"/>
      <c r="J39" s="141" t="s">
        <v>109</v>
      </c>
      <c r="K39" s="440">
        <f>(100000*0.5)</f>
        <v>50000</v>
      </c>
      <c r="L39" s="441"/>
      <c r="M39" s="187" t="s">
        <v>125</v>
      </c>
      <c r="N39" s="81">
        <v>1</v>
      </c>
      <c r="O39" s="21">
        <f>SUM(K39*N39)</f>
        <v>50000</v>
      </c>
    </row>
    <row r="40" spans="1:15" x14ac:dyDescent="0.2">
      <c r="A40" s="9" t="s">
        <v>18</v>
      </c>
      <c r="B40" s="141" t="s">
        <v>38</v>
      </c>
      <c r="C40" s="440"/>
      <c r="D40" s="441"/>
      <c r="E40" s="441"/>
      <c r="F40" s="448"/>
      <c r="G40" s="138">
        <f>SUM(G41)</f>
        <v>280000</v>
      </c>
      <c r="H40" s="31"/>
      <c r="I40" s="9" t="s">
        <v>18</v>
      </c>
      <c r="J40" s="141" t="s">
        <v>38</v>
      </c>
      <c r="K40" s="440"/>
      <c r="L40" s="441"/>
      <c r="M40" s="441"/>
      <c r="N40" s="448"/>
      <c r="O40" s="138">
        <f>SUM(O41)</f>
        <v>280000</v>
      </c>
    </row>
    <row r="41" spans="1:15" x14ac:dyDescent="0.2">
      <c r="A41" s="18"/>
      <c r="B41" s="141" t="s">
        <v>110</v>
      </c>
      <c r="C41" s="440">
        <f>(560000*0.5)</f>
        <v>280000</v>
      </c>
      <c r="D41" s="441"/>
      <c r="E41" s="448"/>
      <c r="F41" s="81">
        <v>1</v>
      </c>
      <c r="G41" s="21">
        <f>SUM(C41)</f>
        <v>280000</v>
      </c>
      <c r="H41" s="31"/>
      <c r="I41" s="18"/>
      <c r="J41" s="141" t="s">
        <v>110</v>
      </c>
      <c r="K41" s="440">
        <f>(560000*0.5)</f>
        <v>280000</v>
      </c>
      <c r="L41" s="441"/>
      <c r="M41" s="448"/>
      <c r="N41" s="81">
        <v>1</v>
      </c>
      <c r="O41" s="21">
        <f>SUM(K41)</f>
        <v>280000</v>
      </c>
    </row>
    <row r="42" spans="1:15" x14ac:dyDescent="0.2">
      <c r="A42" s="18" t="s">
        <v>19</v>
      </c>
      <c r="B42" s="142" t="s">
        <v>39</v>
      </c>
      <c r="C42" s="440"/>
      <c r="D42" s="441"/>
      <c r="E42" s="441"/>
      <c r="F42" s="448"/>
      <c r="G42" s="138">
        <f>SUM(G43:G44)</f>
        <v>920000</v>
      </c>
      <c r="H42" s="31"/>
      <c r="I42" s="18" t="s">
        <v>19</v>
      </c>
      <c r="J42" s="142" t="s">
        <v>39</v>
      </c>
      <c r="K42" s="440"/>
      <c r="L42" s="441"/>
      <c r="M42" s="441"/>
      <c r="N42" s="448"/>
      <c r="O42" s="138">
        <f>SUM(O43:O44)</f>
        <v>920000</v>
      </c>
    </row>
    <row r="43" spans="1:15" x14ac:dyDescent="0.2">
      <c r="A43" s="18"/>
      <c r="B43" s="142" t="s">
        <v>111</v>
      </c>
      <c r="C43" s="440">
        <f>(150000*0.5)</f>
        <v>75000</v>
      </c>
      <c r="D43" s="441"/>
      <c r="E43" s="448"/>
      <c r="F43" s="81">
        <v>12</v>
      </c>
      <c r="G43" s="21">
        <f>SUM(C43*F43)</f>
        <v>900000</v>
      </c>
      <c r="H43" s="31"/>
      <c r="I43" s="18"/>
      <c r="J43" s="142" t="s">
        <v>111</v>
      </c>
      <c r="K43" s="440">
        <f>(150000*0.5)</f>
        <v>75000</v>
      </c>
      <c r="L43" s="441"/>
      <c r="M43" s="448"/>
      <c r="N43" s="81">
        <v>12</v>
      </c>
      <c r="O43" s="21">
        <f>SUM(K43*N43)</f>
        <v>900000</v>
      </c>
    </row>
    <row r="44" spans="1:15" x14ac:dyDescent="0.2">
      <c r="A44" s="18"/>
      <c r="B44" s="142" t="s">
        <v>112</v>
      </c>
      <c r="C44" s="440">
        <f>(40000*0.5)</f>
        <v>20000</v>
      </c>
      <c r="D44" s="441"/>
      <c r="E44" s="448"/>
      <c r="F44" s="81">
        <v>1</v>
      </c>
      <c r="G44" s="21">
        <f>SUM(C44*F44)</f>
        <v>20000</v>
      </c>
      <c r="H44" s="31"/>
      <c r="I44" s="18"/>
      <c r="J44" s="142" t="s">
        <v>112</v>
      </c>
      <c r="K44" s="440">
        <f>(40000*0.5)</f>
        <v>20000</v>
      </c>
      <c r="L44" s="441"/>
      <c r="M44" s="448"/>
      <c r="N44" s="81">
        <v>1</v>
      </c>
      <c r="O44" s="21">
        <f>SUM(K44*N44)</f>
        <v>20000</v>
      </c>
    </row>
    <row r="45" spans="1:15" ht="31.5" x14ac:dyDescent="0.2">
      <c r="A45" s="9" t="s">
        <v>20</v>
      </c>
      <c r="B45" s="142" t="s">
        <v>40</v>
      </c>
      <c r="C45" s="440"/>
      <c r="D45" s="441"/>
      <c r="E45" s="448"/>
      <c r="F45" s="81"/>
      <c r="G45" s="138">
        <v>87500</v>
      </c>
      <c r="H45" s="31"/>
      <c r="I45" s="9" t="s">
        <v>20</v>
      </c>
      <c r="J45" s="142" t="s">
        <v>40</v>
      </c>
      <c r="K45" s="440">
        <f>SUM(Q45)</f>
        <v>0</v>
      </c>
      <c r="L45" s="441"/>
      <c r="M45" s="448"/>
      <c r="N45" s="81">
        <v>1</v>
      </c>
      <c r="O45" s="138">
        <v>87500</v>
      </c>
    </row>
    <row r="46" spans="1:15" ht="21" x14ac:dyDescent="0.2">
      <c r="A46" s="9" t="s">
        <v>21</v>
      </c>
      <c r="B46" s="142" t="s">
        <v>70</v>
      </c>
      <c r="C46" s="440"/>
      <c r="D46" s="441"/>
      <c r="E46" s="441"/>
      <c r="F46" s="448"/>
      <c r="G46" s="21"/>
      <c r="I46" s="9" t="s">
        <v>21</v>
      </c>
      <c r="J46" s="142" t="s">
        <v>70</v>
      </c>
      <c r="K46" s="440"/>
      <c r="L46" s="441"/>
      <c r="M46" s="441"/>
      <c r="N46" s="448"/>
      <c r="O46" s="21"/>
    </row>
    <row r="47" spans="1:15" ht="13.5" thickBot="1" x14ac:dyDescent="0.25">
      <c r="A47" s="143"/>
      <c r="B47" s="144" t="s">
        <v>113</v>
      </c>
      <c r="C47" s="449">
        <f>(5000*0.5)</f>
        <v>2500</v>
      </c>
      <c r="D47" s="450"/>
      <c r="E47" s="451"/>
      <c r="F47" s="145">
        <v>1</v>
      </c>
      <c r="G47" s="146">
        <f>SUM(C47*F47)</f>
        <v>2500</v>
      </c>
      <c r="I47" s="143"/>
      <c r="J47" s="144" t="s">
        <v>113</v>
      </c>
      <c r="K47" s="449">
        <f>(5000*0.5)</f>
        <v>2500</v>
      </c>
      <c r="L47" s="450"/>
      <c r="M47" s="451"/>
      <c r="N47" s="145">
        <v>1</v>
      </c>
      <c r="O47" s="146">
        <f>SUM(K47*N47)</f>
        <v>2500</v>
      </c>
    </row>
    <row r="48" spans="1:15" ht="13.5" thickBot="1" x14ac:dyDescent="0.25">
      <c r="A48" s="416" t="s">
        <v>45</v>
      </c>
      <c r="B48" s="417"/>
      <c r="C48" s="442"/>
      <c r="D48" s="443"/>
      <c r="E48" s="443"/>
      <c r="F48" s="444"/>
      <c r="G48" s="80">
        <f>SUM(G26,G27,G28,G32,G35,G40,G42,G45,G47)</f>
        <v>1975458</v>
      </c>
      <c r="I48" s="416" t="s">
        <v>45</v>
      </c>
      <c r="J48" s="417"/>
      <c r="K48" s="442"/>
      <c r="L48" s="443"/>
      <c r="M48" s="443"/>
      <c r="N48" s="444"/>
      <c r="O48" s="80">
        <f>SUM(O26,O27,O28,O32,O35,O40,O42,O45,O47)</f>
        <v>1975458</v>
      </c>
    </row>
    <row r="49" spans="1:15" x14ac:dyDescent="0.2">
      <c r="A49" s="34" t="s">
        <v>146</v>
      </c>
      <c r="B49" s="282" t="s">
        <v>148</v>
      </c>
      <c r="C49" s="467"/>
      <c r="D49" s="468"/>
      <c r="E49" s="468"/>
      <c r="F49" s="469"/>
      <c r="G49" s="57">
        <v>1200</v>
      </c>
      <c r="I49" s="34" t="s">
        <v>146</v>
      </c>
      <c r="J49" s="282" t="s">
        <v>148</v>
      </c>
      <c r="K49" s="467"/>
      <c r="L49" s="468"/>
      <c r="M49" s="468"/>
      <c r="N49" s="469"/>
      <c r="O49" s="57">
        <v>1200</v>
      </c>
    </row>
    <row r="50" spans="1:15" ht="13.5" thickBot="1" x14ac:dyDescent="0.25">
      <c r="A50" s="34" t="s">
        <v>88</v>
      </c>
      <c r="B50" s="54" t="s">
        <v>89</v>
      </c>
      <c r="C50" s="452"/>
      <c r="D50" s="453"/>
      <c r="E50" s="453"/>
      <c r="F50" s="454"/>
      <c r="G50" s="57">
        <v>0</v>
      </c>
      <c r="I50" s="34" t="s">
        <v>88</v>
      </c>
      <c r="J50" s="54" t="s">
        <v>89</v>
      </c>
      <c r="K50" s="452"/>
      <c r="L50" s="453"/>
      <c r="M50" s="453"/>
      <c r="N50" s="454"/>
      <c r="O50" s="57">
        <v>0</v>
      </c>
    </row>
    <row r="51" spans="1:15" ht="13.5" thickBot="1" x14ac:dyDescent="0.25">
      <c r="A51" s="416" t="s">
        <v>149</v>
      </c>
      <c r="B51" s="417"/>
      <c r="C51" s="442"/>
      <c r="D51" s="443"/>
      <c r="E51" s="443"/>
      <c r="F51" s="444"/>
      <c r="G51" s="80">
        <f>SUM(G49)</f>
        <v>1200</v>
      </c>
      <c r="I51" s="416" t="s">
        <v>149</v>
      </c>
      <c r="J51" s="417"/>
      <c r="K51" s="442"/>
      <c r="L51" s="443"/>
      <c r="M51" s="443"/>
      <c r="N51" s="444"/>
      <c r="O51" s="80">
        <f>SUM(O49)</f>
        <v>1200</v>
      </c>
    </row>
    <row r="52" spans="1:15" x14ac:dyDescent="0.2">
      <c r="A52" s="58" t="s">
        <v>114</v>
      </c>
      <c r="B52" s="55" t="s">
        <v>115</v>
      </c>
      <c r="C52" s="441"/>
      <c r="D52" s="441"/>
      <c r="E52" s="441"/>
      <c r="F52" s="150"/>
      <c r="G52" s="138">
        <f>SUM(G53)</f>
        <v>0</v>
      </c>
      <c r="I52" s="58" t="s">
        <v>114</v>
      </c>
      <c r="J52" s="55" t="s">
        <v>115</v>
      </c>
      <c r="K52" s="441"/>
      <c r="L52" s="441"/>
      <c r="M52" s="441"/>
      <c r="N52" s="150"/>
      <c r="O52" s="138">
        <f>SUM(O53)</f>
        <v>0</v>
      </c>
    </row>
    <row r="53" spans="1:15" x14ac:dyDescent="0.2">
      <c r="A53" s="455"/>
      <c r="B53" s="456"/>
      <c r="C53" s="153"/>
      <c r="D53" s="153"/>
      <c r="E53" s="153"/>
      <c r="F53" s="154"/>
      <c r="G53" s="21"/>
      <c r="I53" s="455"/>
      <c r="J53" s="456"/>
      <c r="K53" s="153"/>
      <c r="L53" s="153"/>
      <c r="M53" s="153"/>
      <c r="N53" s="154"/>
      <c r="O53" s="21"/>
    </row>
    <row r="54" spans="1:15" ht="13.5" thickBot="1" x14ac:dyDescent="0.25">
      <c r="A54" s="137" t="s">
        <v>117</v>
      </c>
      <c r="B54" s="151" t="s">
        <v>116</v>
      </c>
      <c r="C54" s="453"/>
      <c r="D54" s="453"/>
      <c r="E54" s="453"/>
      <c r="F54" s="152"/>
      <c r="G54" s="155"/>
      <c r="I54" s="137" t="s">
        <v>117</v>
      </c>
      <c r="J54" s="151" t="s">
        <v>116</v>
      </c>
      <c r="K54" s="453"/>
      <c r="L54" s="453"/>
      <c r="M54" s="453"/>
      <c r="N54" s="152"/>
      <c r="O54" s="155"/>
    </row>
    <row r="55" spans="1:15" ht="13.5" thickBot="1" x14ac:dyDescent="0.25">
      <c r="A55" s="416" t="s">
        <v>118</v>
      </c>
      <c r="B55" s="417"/>
      <c r="C55" s="457"/>
      <c r="D55" s="443"/>
      <c r="E55" s="443"/>
      <c r="F55" s="444"/>
      <c r="G55" s="80">
        <f>SUM(G52,G54)</f>
        <v>0</v>
      </c>
      <c r="I55" s="416" t="s">
        <v>118</v>
      </c>
      <c r="J55" s="417"/>
      <c r="K55" s="457"/>
      <c r="L55" s="443"/>
      <c r="M55" s="443"/>
      <c r="N55" s="444"/>
      <c r="O55" s="80">
        <f>SUM(O52,O54)</f>
        <v>0</v>
      </c>
    </row>
    <row r="56" spans="1:15" ht="13.5" thickBot="1" x14ac:dyDescent="0.25">
      <c r="A56" s="418" t="s">
        <v>48</v>
      </c>
      <c r="B56" s="419"/>
      <c r="C56" s="445"/>
      <c r="D56" s="446"/>
      <c r="E56" s="446"/>
      <c r="F56" s="479"/>
      <c r="G56" s="337">
        <f>G22+G25+G48+G51+G55</f>
        <v>58173030</v>
      </c>
      <c r="I56" s="418" t="s">
        <v>48</v>
      </c>
      <c r="J56" s="419"/>
      <c r="K56" s="445"/>
      <c r="L56" s="446"/>
      <c r="M56" s="446"/>
      <c r="N56" s="479"/>
      <c r="O56" s="337">
        <f>O22+O25+O48+O51+O55</f>
        <v>46271658</v>
      </c>
    </row>
    <row r="57" spans="1:15" ht="13.5" thickBot="1" x14ac:dyDescent="0.25"/>
    <row r="58" spans="1:15" ht="13.5" thickBot="1" x14ac:dyDescent="0.25">
      <c r="A58" s="470" t="s">
        <v>164</v>
      </c>
      <c r="B58" s="471"/>
      <c r="C58" s="471"/>
      <c r="D58" s="471"/>
      <c r="E58" s="471"/>
      <c r="F58" s="471"/>
      <c r="G58" s="472"/>
      <c r="I58" s="470" t="s">
        <v>165</v>
      </c>
      <c r="J58" s="471"/>
      <c r="K58" s="471"/>
      <c r="L58" s="471"/>
      <c r="M58" s="471"/>
      <c r="N58" s="471"/>
      <c r="O58" s="472"/>
    </row>
    <row r="59" spans="1:15" x14ac:dyDescent="0.2">
      <c r="A59" s="421" t="s">
        <v>0</v>
      </c>
      <c r="B59" s="423" t="s">
        <v>47</v>
      </c>
      <c r="C59" s="473"/>
      <c r="D59" s="474"/>
      <c r="E59" s="474"/>
      <c r="F59" s="475"/>
      <c r="G59" s="213">
        <v>2023</v>
      </c>
      <c r="I59" s="421" t="s">
        <v>0</v>
      </c>
      <c r="J59" s="423" t="s">
        <v>47</v>
      </c>
      <c r="K59" s="473"/>
      <c r="L59" s="474"/>
      <c r="M59" s="474"/>
      <c r="N59" s="475"/>
      <c r="O59" s="213">
        <v>2023</v>
      </c>
    </row>
    <row r="60" spans="1:15" ht="13.5" thickBot="1" x14ac:dyDescent="0.25">
      <c r="A60" s="422"/>
      <c r="B60" s="424"/>
      <c r="C60" s="464"/>
      <c r="D60" s="465"/>
      <c r="E60" s="465"/>
      <c r="F60" s="466"/>
      <c r="G60" s="123" t="s">
        <v>68</v>
      </c>
      <c r="I60" s="422"/>
      <c r="J60" s="424"/>
      <c r="K60" s="464"/>
      <c r="L60" s="465"/>
      <c r="M60" s="465"/>
      <c r="N60" s="466"/>
      <c r="O60" s="123" t="s">
        <v>68</v>
      </c>
    </row>
    <row r="61" spans="1:15" ht="42" x14ac:dyDescent="0.2">
      <c r="A61" s="86" t="s">
        <v>11</v>
      </c>
      <c r="B61" s="211" t="s">
        <v>32</v>
      </c>
      <c r="C61" s="440"/>
      <c r="D61" s="441"/>
      <c r="E61" s="448"/>
      <c r="F61" s="81"/>
      <c r="G61" s="21">
        <f>(1117670*0.5)</f>
        <v>558835</v>
      </c>
      <c r="I61" s="86" t="s">
        <v>11</v>
      </c>
      <c r="J61" s="211" t="s">
        <v>32</v>
      </c>
      <c r="K61" s="440"/>
      <c r="L61" s="441"/>
      <c r="M61" s="448"/>
      <c r="N61" s="81"/>
      <c r="O61" s="21">
        <f>(1117670*0.5)</f>
        <v>558835</v>
      </c>
    </row>
    <row r="62" spans="1:15" ht="13.5" thickBot="1" x14ac:dyDescent="0.25">
      <c r="A62" s="207" t="s">
        <v>10</v>
      </c>
      <c r="B62" s="212" t="s">
        <v>131</v>
      </c>
      <c r="C62" s="208"/>
      <c r="D62" s="205"/>
      <c r="E62" s="206"/>
      <c r="F62" s="209"/>
      <c r="G62" s="210">
        <f>(1433800*0.5)</f>
        <v>716900</v>
      </c>
      <c r="I62" s="207" t="s">
        <v>10</v>
      </c>
      <c r="J62" s="212" t="s">
        <v>131</v>
      </c>
      <c r="K62" s="208"/>
      <c r="L62" s="205"/>
      <c r="M62" s="206"/>
      <c r="N62" s="209"/>
      <c r="O62" s="210">
        <f>(1433800*0.5)</f>
        <v>716900</v>
      </c>
    </row>
    <row r="63" spans="1:15" ht="13.5" thickBot="1" x14ac:dyDescent="0.25">
      <c r="A63" s="420" t="s">
        <v>43</v>
      </c>
      <c r="B63" s="417"/>
      <c r="C63" s="78">
        <f>SUM(C61:C61)</f>
        <v>0</v>
      </c>
      <c r="D63" s="83">
        <f>SUM(D61:D61)</f>
        <v>0</v>
      </c>
      <c r="E63" s="203">
        <f>SUM(E61:E61)</f>
        <v>0</v>
      </c>
      <c r="F63" s="79"/>
      <c r="G63" s="80">
        <f>SUM(G61:G62)</f>
        <v>1275735</v>
      </c>
      <c r="I63" s="420" t="s">
        <v>43</v>
      </c>
      <c r="J63" s="417"/>
      <c r="K63" s="78">
        <f>SUM(K61:K61)</f>
        <v>0</v>
      </c>
      <c r="L63" s="83">
        <f>SUM(L61:L61)</f>
        <v>0</v>
      </c>
      <c r="M63" s="203">
        <f>SUM(M61:M61)</f>
        <v>0</v>
      </c>
      <c r="N63" s="79"/>
      <c r="O63" s="80">
        <f>SUM(O61:O62)</f>
        <v>1275735</v>
      </c>
    </row>
    <row r="64" spans="1:15" ht="13.5" thickBot="1" x14ac:dyDescent="0.25">
      <c r="A64" s="18" t="s">
        <v>12</v>
      </c>
      <c r="B64" s="54" t="s">
        <v>33</v>
      </c>
      <c r="C64" s="126">
        <f>G63</f>
        <v>1275735</v>
      </c>
      <c r="D64" s="147">
        <v>0.13</v>
      </c>
      <c r="E64" s="127">
        <f>SUM(C64*D64)</f>
        <v>165845.55000000002</v>
      </c>
      <c r="F64" s="88"/>
      <c r="G64" s="128">
        <f>(281949*0.5)</f>
        <v>140974.5</v>
      </c>
      <c r="I64" s="18" t="s">
        <v>12</v>
      </c>
      <c r="J64" s="54" t="s">
        <v>33</v>
      </c>
      <c r="K64" s="126">
        <f>O63</f>
        <v>1275735</v>
      </c>
      <c r="L64" s="147">
        <v>0.13</v>
      </c>
      <c r="M64" s="127">
        <f>SUM(K64*L64)</f>
        <v>165845.55000000002</v>
      </c>
      <c r="N64" s="88"/>
      <c r="O64" s="128">
        <f>(281949*0.5)</f>
        <v>140974.5</v>
      </c>
    </row>
    <row r="65" spans="1:15" ht="13.5" thickBot="1" x14ac:dyDescent="0.25">
      <c r="A65" s="416" t="s">
        <v>82</v>
      </c>
      <c r="B65" s="417"/>
      <c r="C65" s="78">
        <f>SUM(C64)</f>
        <v>1275735</v>
      </c>
      <c r="D65" s="203">
        <f>SUM(D64)</f>
        <v>0.13</v>
      </c>
      <c r="E65" s="203">
        <f>SUM(E64:E64)</f>
        <v>165845.55000000002</v>
      </c>
      <c r="F65" s="79"/>
      <c r="G65" s="80">
        <f>SUM(G64:G64)</f>
        <v>140974.5</v>
      </c>
      <c r="I65" s="416" t="s">
        <v>82</v>
      </c>
      <c r="J65" s="417"/>
      <c r="K65" s="78">
        <f>SUM(K64)</f>
        <v>1275735</v>
      </c>
      <c r="L65" s="203">
        <f>SUM(L64)</f>
        <v>0.13</v>
      </c>
      <c r="M65" s="203">
        <f>SUM(M64:M64)</f>
        <v>165845.55000000002</v>
      </c>
      <c r="N65" s="79"/>
      <c r="O65" s="80">
        <f>SUM(O64:O64)</f>
        <v>140974.5</v>
      </c>
    </row>
    <row r="66" spans="1:15" ht="21" x14ac:dyDescent="0.2">
      <c r="A66" s="9" t="s">
        <v>15</v>
      </c>
      <c r="B66" s="141" t="s">
        <v>36</v>
      </c>
      <c r="C66" s="440"/>
      <c r="D66" s="441"/>
      <c r="E66" s="185">
        <v>0.27</v>
      </c>
      <c r="F66" s="81"/>
      <c r="G66" s="21"/>
      <c r="I66" s="9" t="s">
        <v>15</v>
      </c>
      <c r="J66" s="141" t="s">
        <v>36</v>
      </c>
      <c r="K66" s="440"/>
      <c r="L66" s="441"/>
      <c r="M66" s="185">
        <v>0.27</v>
      </c>
      <c r="N66" s="81"/>
      <c r="O66" s="21"/>
    </row>
    <row r="67" spans="1:15" ht="32.25" thickBot="1" x14ac:dyDescent="0.25">
      <c r="A67" s="9" t="s">
        <v>20</v>
      </c>
      <c r="B67" s="142" t="s">
        <v>40</v>
      </c>
      <c r="C67" s="440"/>
      <c r="D67" s="441"/>
      <c r="E67" s="448"/>
      <c r="F67" s="81"/>
      <c r="G67" s="21"/>
      <c r="I67" s="9" t="s">
        <v>20</v>
      </c>
      <c r="J67" s="142" t="s">
        <v>40</v>
      </c>
      <c r="K67" s="440"/>
      <c r="L67" s="441"/>
      <c r="M67" s="448"/>
      <c r="N67" s="81"/>
      <c r="O67" s="21"/>
    </row>
    <row r="68" spans="1:15" ht="13.5" thickBot="1" x14ac:dyDescent="0.25">
      <c r="A68" s="416" t="s">
        <v>45</v>
      </c>
      <c r="B68" s="417"/>
      <c r="C68" s="442"/>
      <c r="D68" s="443"/>
      <c r="E68" s="443"/>
      <c r="F68" s="444"/>
      <c r="G68" s="80">
        <f>SUM(G66:G67)</f>
        <v>0</v>
      </c>
      <c r="I68" s="416" t="s">
        <v>45</v>
      </c>
      <c r="J68" s="417"/>
      <c r="K68" s="442"/>
      <c r="L68" s="443"/>
      <c r="M68" s="443"/>
      <c r="N68" s="444"/>
      <c r="O68" s="80">
        <f>SUM(O66:O67)</f>
        <v>0</v>
      </c>
    </row>
    <row r="69" spans="1:15" ht="32.25" thickBot="1" x14ac:dyDescent="0.25">
      <c r="A69" s="58" t="s">
        <v>129</v>
      </c>
      <c r="B69" s="141" t="s">
        <v>130</v>
      </c>
      <c r="C69" s="440"/>
      <c r="D69" s="441"/>
      <c r="E69" s="185"/>
      <c r="F69" s="81"/>
      <c r="G69" s="21">
        <f>(176699*0.5)</f>
        <v>88349.5</v>
      </c>
      <c r="I69" s="58" t="s">
        <v>129</v>
      </c>
      <c r="J69" s="141" t="s">
        <v>130</v>
      </c>
      <c r="K69" s="440"/>
      <c r="L69" s="441"/>
      <c r="M69" s="185"/>
      <c r="N69" s="81"/>
      <c r="O69" s="21">
        <f>(176699*0.5)</f>
        <v>88349.5</v>
      </c>
    </row>
    <row r="70" spans="1:15" ht="13.5" thickBot="1" x14ac:dyDescent="0.25">
      <c r="A70" s="416" t="s">
        <v>45</v>
      </c>
      <c r="B70" s="417"/>
      <c r="C70" s="442"/>
      <c r="D70" s="443"/>
      <c r="E70" s="443"/>
      <c r="F70" s="444"/>
      <c r="G70" s="80">
        <f>SUM(G69:G69)</f>
        <v>88349.5</v>
      </c>
      <c r="I70" s="416" t="s">
        <v>45</v>
      </c>
      <c r="J70" s="417"/>
      <c r="K70" s="442"/>
      <c r="L70" s="443"/>
      <c r="M70" s="443"/>
      <c r="N70" s="444"/>
      <c r="O70" s="80">
        <f>SUM(O69:O69)</f>
        <v>88349.5</v>
      </c>
    </row>
    <row r="71" spans="1:15" ht="13.5" thickBot="1" x14ac:dyDescent="0.25">
      <c r="A71" s="418" t="s">
        <v>48</v>
      </c>
      <c r="B71" s="419"/>
      <c r="C71" s="445"/>
      <c r="D71" s="446"/>
      <c r="E71" s="446"/>
      <c r="F71" s="447"/>
      <c r="G71" s="204">
        <f>SUM(G68,G65,G63,G70)</f>
        <v>1505059</v>
      </c>
      <c r="I71" s="418" t="s">
        <v>48</v>
      </c>
      <c r="J71" s="419"/>
      <c r="K71" s="445"/>
      <c r="L71" s="446"/>
      <c r="M71" s="446"/>
      <c r="N71" s="447"/>
      <c r="O71" s="204">
        <f>SUM(O68,O65,O63,O70)</f>
        <v>1505059</v>
      </c>
    </row>
    <row r="72" spans="1:15" ht="13.5" thickBot="1" x14ac:dyDescent="0.25"/>
    <row r="73" spans="1:15" ht="13.5" thickBot="1" x14ac:dyDescent="0.25">
      <c r="A73" s="27" t="s">
        <v>59</v>
      </c>
      <c r="B73" s="28"/>
      <c r="C73" s="476"/>
      <c r="D73" s="477"/>
      <c r="E73" s="477"/>
      <c r="F73" s="478"/>
      <c r="G73" s="29">
        <f>SUM(G56+G71)</f>
        <v>59678089</v>
      </c>
      <c r="I73" s="27" t="s">
        <v>59</v>
      </c>
      <c r="J73" s="28"/>
      <c r="K73" s="476"/>
      <c r="L73" s="477"/>
      <c r="M73" s="477"/>
      <c r="N73" s="478"/>
      <c r="O73" s="29">
        <f>SUM(O56+O71)</f>
        <v>47776717</v>
      </c>
    </row>
  </sheetData>
  <mergeCells count="139">
    <mergeCell ref="A71:B71"/>
    <mergeCell ref="C71:F71"/>
    <mergeCell ref="I71:J71"/>
    <mergeCell ref="K71:N71"/>
    <mergeCell ref="C73:F73"/>
    <mergeCell ref="K73:N73"/>
    <mergeCell ref="C69:D69"/>
    <mergeCell ref="K69:L69"/>
    <mergeCell ref="A70:B70"/>
    <mergeCell ref="C70:F70"/>
    <mergeCell ref="I70:J70"/>
    <mergeCell ref="K70:N70"/>
    <mergeCell ref="C66:D66"/>
    <mergeCell ref="K66:L66"/>
    <mergeCell ref="C67:E67"/>
    <mergeCell ref="K67:M67"/>
    <mergeCell ref="A68:B68"/>
    <mergeCell ref="C68:F68"/>
    <mergeCell ref="I68:J68"/>
    <mergeCell ref="K68:N68"/>
    <mergeCell ref="C61:E61"/>
    <mergeCell ref="K61:M61"/>
    <mergeCell ref="A63:B63"/>
    <mergeCell ref="I63:J63"/>
    <mergeCell ref="A65:B65"/>
    <mergeCell ref="I65:J65"/>
    <mergeCell ref="A58:G58"/>
    <mergeCell ref="I58:O58"/>
    <mergeCell ref="A59:A60"/>
    <mergeCell ref="B59:B60"/>
    <mergeCell ref="C59:F60"/>
    <mergeCell ref="I59:I60"/>
    <mergeCell ref="J59:J60"/>
    <mergeCell ref="K59:N60"/>
    <mergeCell ref="A55:B55"/>
    <mergeCell ref="C55:F55"/>
    <mergeCell ref="I55:J55"/>
    <mergeCell ref="K55:N55"/>
    <mergeCell ref="A56:B56"/>
    <mergeCell ref="C56:F56"/>
    <mergeCell ref="I56:J56"/>
    <mergeCell ref="K56:N56"/>
    <mergeCell ref="C52:E52"/>
    <mergeCell ref="K52:M52"/>
    <mergeCell ref="A53:B53"/>
    <mergeCell ref="I53:J53"/>
    <mergeCell ref="C54:E54"/>
    <mergeCell ref="K54:M54"/>
    <mergeCell ref="C49:F49"/>
    <mergeCell ref="K49:N49"/>
    <mergeCell ref="A51:B51"/>
    <mergeCell ref="C51:F51"/>
    <mergeCell ref="I51:J51"/>
    <mergeCell ref="K51:N51"/>
    <mergeCell ref="C50:F50"/>
    <mergeCell ref="K50:N50"/>
    <mergeCell ref="C47:E47"/>
    <mergeCell ref="K47:M47"/>
    <mergeCell ref="A48:B48"/>
    <mergeCell ref="C48:F48"/>
    <mergeCell ref="I48:J48"/>
    <mergeCell ref="K48:N48"/>
    <mergeCell ref="C44:E44"/>
    <mergeCell ref="K44:M44"/>
    <mergeCell ref="C45:E45"/>
    <mergeCell ref="K45:M45"/>
    <mergeCell ref="C46:F46"/>
    <mergeCell ref="K46:N46"/>
    <mergeCell ref="C41:E41"/>
    <mergeCell ref="K41:M41"/>
    <mergeCell ref="C42:F42"/>
    <mergeCell ref="K42:N42"/>
    <mergeCell ref="C43:E43"/>
    <mergeCell ref="K43:M43"/>
    <mergeCell ref="C38:D38"/>
    <mergeCell ref="K38:L38"/>
    <mergeCell ref="C39:D39"/>
    <mergeCell ref="K39:L39"/>
    <mergeCell ref="C40:F40"/>
    <mergeCell ref="K40:N40"/>
    <mergeCell ref="C35:F35"/>
    <mergeCell ref="K35:N35"/>
    <mergeCell ref="C36:D36"/>
    <mergeCell ref="K36:L36"/>
    <mergeCell ref="C37:D37"/>
    <mergeCell ref="K37:L37"/>
    <mergeCell ref="C31:D31"/>
    <mergeCell ref="K31:L31"/>
    <mergeCell ref="C32:F32"/>
    <mergeCell ref="K32:N32"/>
    <mergeCell ref="C33:D33"/>
    <mergeCell ref="K33:L33"/>
    <mergeCell ref="C28:F28"/>
    <mergeCell ref="K28:N28"/>
    <mergeCell ref="C29:D29"/>
    <mergeCell ref="K29:L29"/>
    <mergeCell ref="C30:D30"/>
    <mergeCell ref="K30:L30"/>
    <mergeCell ref="A25:B25"/>
    <mergeCell ref="I25:J25"/>
    <mergeCell ref="C26:D26"/>
    <mergeCell ref="K26:L26"/>
    <mergeCell ref="C27:D27"/>
    <mergeCell ref="K27:L27"/>
    <mergeCell ref="C20:E20"/>
    <mergeCell ref="K20:M20"/>
    <mergeCell ref="C21:E21"/>
    <mergeCell ref="K21:M21"/>
    <mergeCell ref="A22:B22"/>
    <mergeCell ref="I22:J22"/>
    <mergeCell ref="C17:E17"/>
    <mergeCell ref="K17:M17"/>
    <mergeCell ref="C18:E18"/>
    <mergeCell ref="K18:M18"/>
    <mergeCell ref="C19:E19"/>
    <mergeCell ref="K19:M19"/>
    <mergeCell ref="C12:E12"/>
    <mergeCell ref="K12:M12"/>
    <mergeCell ref="C13:E13"/>
    <mergeCell ref="K13:M13"/>
    <mergeCell ref="C16:E16"/>
    <mergeCell ref="K16:M16"/>
    <mergeCell ref="K6:N7"/>
    <mergeCell ref="C8:F8"/>
    <mergeCell ref="K8:N8"/>
    <mergeCell ref="C10:F10"/>
    <mergeCell ref="K10:N10"/>
    <mergeCell ref="C11:E11"/>
    <mergeCell ref="K11:M11"/>
    <mergeCell ref="A1:G1"/>
    <mergeCell ref="A2:G2"/>
    <mergeCell ref="A4:G4"/>
    <mergeCell ref="A5:G5"/>
    <mergeCell ref="I5:O5"/>
    <mergeCell ref="A6:A7"/>
    <mergeCell ref="B6:B7"/>
    <mergeCell ref="C6:F7"/>
    <mergeCell ref="I6:I7"/>
    <mergeCell ref="J6:J7"/>
  </mergeCells>
  <pageMargins left="0.7" right="0.7" top="0.75" bottom="0.75" header="0.3" footer="0.3"/>
  <pageSetup paperSize="8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4</vt:i4>
      </vt:variant>
    </vt:vector>
  </HeadingPairs>
  <TitlesOfParts>
    <vt:vector size="11" baseType="lpstr">
      <vt:lpstr>Mérleg(Hivatal 2023)</vt:lpstr>
      <vt:lpstr>Bevételek(Hivatal 2023)</vt:lpstr>
      <vt:lpstr>Leosztott bev</vt:lpstr>
      <vt:lpstr>Kiadások(Hivatal 2023)</vt:lpstr>
      <vt:lpstr>Kiadások COFOG szerint</vt:lpstr>
      <vt:lpstr>Részletes cofog kiadás</vt:lpstr>
      <vt:lpstr>Leosztott</vt:lpstr>
      <vt:lpstr>'Bevételek(Hivatal 2023)'!Nyomtatási_terület</vt:lpstr>
      <vt:lpstr>'Kiadások COFOG szerint'!Nyomtatási_terület</vt:lpstr>
      <vt:lpstr>'Kiadások(Hivatal 2023)'!Nyomtatási_terület</vt:lpstr>
      <vt:lpstr>'Mérleg(Hivatal 2023)'!Nyomtatási_terület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SzZsuzsi</dc:creator>
  <cp:lastModifiedBy>Kollár Anikó</cp:lastModifiedBy>
  <cp:lastPrinted>2023-10-26T07:18:22Z</cp:lastPrinted>
  <dcterms:created xsi:type="dcterms:W3CDTF">2016-01-02T07:48:50Z</dcterms:created>
  <dcterms:modified xsi:type="dcterms:W3CDTF">2023-10-26T07:18:26Z</dcterms:modified>
</cp:coreProperties>
</file>