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5.30\"/>
    </mc:Choice>
  </mc:AlternateContent>
  <workbookProtection workbookAlgorithmName="SHA-512" workbookHashValue="WyNTrng80pk+RWKOyoz4SseA+2+PkvZTE/tA1ILS2HLNUyTkMwviOoKOzv9T3frl//xjN11a1InIrvvCqwq2tw==" workbookSaltValue="HPkiDDlwuOhElP1UWYQhZg==" workbookSpinCount="100000" lockStructure="1"/>
  <bookViews>
    <workbookView xWindow="0" yWindow="0" windowWidth="28800" windowHeight="11940" tabRatio="500"/>
  </bookViews>
  <sheets>
    <sheet name="Mérleg(önkormányzat 2023)" sheetId="1" r:id="rId1"/>
    <sheet name="Bevételek(önkormányzat 2023" sheetId="2" r:id="rId2"/>
    <sheet name="Bevételek COFOG szerint 2023" sheetId="3" state="hidden" r:id="rId3"/>
    <sheet name="Kiadások(önkormányzat 2023)" sheetId="4" r:id="rId4"/>
    <sheet name="Kiadások COFOG szerint" sheetId="5" state="hidden" r:id="rId5"/>
    <sheet name="Kiadások részletes COFOG" sheetId="6" state="hidden" r:id="rId6"/>
    <sheet name="Kiadások COFOG összesítő" sheetId="7" state="hidden" r:id="rId7"/>
    <sheet name="Pénzmaradvány 2020" sheetId="8" state="hidden" r:id="rId8"/>
  </sheets>
  <definedNames>
    <definedName name="_xlnm._FilterDatabase" localSheetId="2" hidden="1">'Bevételek COFOG szerint 2023'!$A$1:$A$183</definedName>
    <definedName name="_xlnm._FilterDatabase" localSheetId="4" hidden="1">'Kiadások COFOG szerint'!$A$1:$A$340</definedName>
    <definedName name="_xlnm.Print_Area" localSheetId="2">'Bevételek COFOG szerint 2023'!$A$1:$F$175</definedName>
    <definedName name="_xlnm.Print_Area" localSheetId="1">'Bevételek(önkormányzat 2023'!$A$1:$F$45</definedName>
    <definedName name="_xlnm.Print_Area" localSheetId="6">'Kiadások COFOG összesítő'!$A$1:$K$38</definedName>
    <definedName name="_xlnm.Print_Area" localSheetId="4">'Kiadások COFOG szerint'!$A$1:$F$325</definedName>
    <definedName name="_xlnm.Print_Area" localSheetId="5">'Kiadások részletes COFOG'!$A$1:$L$542</definedName>
    <definedName name="_xlnm.Print_Area" localSheetId="3">'Kiadások(önkormányzat 2023)'!$A$1:$F$83</definedName>
    <definedName name="_xlnm.Print_Area" localSheetId="0">'Mérleg(önkormányzat 2023)'!$A$1:$M$26</definedName>
    <definedName name="_xlnm.Print_Area" localSheetId="7">'Pénzmaradvány 2020'!$A$1:$C$29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8" i="4" l="1"/>
  <c r="D35" i="3"/>
  <c r="D175" i="3"/>
  <c r="D45" i="2"/>
  <c r="E39" i="2"/>
  <c r="E36" i="2"/>
  <c r="E26" i="2"/>
  <c r="E27" i="2"/>
  <c r="E28" i="2"/>
  <c r="E29" i="2"/>
  <c r="E33" i="2"/>
  <c r="E34" i="2"/>
  <c r="E30" i="2"/>
  <c r="E23" i="2"/>
  <c r="E165" i="3"/>
  <c r="D88" i="3"/>
  <c r="K16" i="1" l="1"/>
  <c r="D60" i="3"/>
  <c r="I165" i="6"/>
  <c r="I164" i="6"/>
  <c r="I146" i="6"/>
  <c r="I147" i="6"/>
  <c r="I148" i="6"/>
  <c r="I150" i="6"/>
  <c r="I151" i="6"/>
  <c r="I145" i="6"/>
  <c r="C169" i="6"/>
  <c r="I169" i="6" l="1"/>
  <c r="F49" i="4"/>
  <c r="F189" i="5"/>
  <c r="D189" i="5" s="1"/>
  <c r="F345" i="6"/>
  <c r="F94" i="5"/>
  <c r="D94" i="5" s="1"/>
  <c r="C8" i="4" l="1"/>
  <c r="F453" i="6"/>
  <c r="F157" i="5"/>
  <c r="D157" i="5" s="1"/>
  <c r="F265" i="6"/>
  <c r="F158" i="5" s="1"/>
  <c r="D158" i="5" s="1"/>
  <c r="F263" i="6"/>
  <c r="F261" i="6"/>
  <c r="F156" i="5" s="1"/>
  <c r="D156" i="5" s="1"/>
  <c r="F236" i="6"/>
  <c r="F185" i="6" l="1"/>
  <c r="F130" i="3" l="1"/>
  <c r="C130" i="3"/>
  <c r="E130" i="3"/>
  <c r="D129" i="3"/>
  <c r="D130" i="3" s="1"/>
  <c r="F83" i="3"/>
  <c r="C83" i="3"/>
  <c r="D31" i="3"/>
  <c r="D25" i="3"/>
  <c r="D26" i="3"/>
  <c r="D27" i="3"/>
  <c r="D28" i="3"/>
  <c r="D29" i="3"/>
  <c r="D30" i="3"/>
  <c r="F24" i="3"/>
  <c r="F75" i="3" l="1"/>
  <c r="F70" i="3"/>
  <c r="F64" i="3"/>
  <c r="F56" i="3"/>
  <c r="F45" i="3"/>
  <c r="D55" i="3"/>
  <c r="D77" i="3"/>
  <c r="D74" i="3"/>
  <c r="D69" i="3"/>
  <c r="D63" i="3"/>
  <c r="H488" i="6"/>
  <c r="F350" i="6"/>
  <c r="E84" i="3"/>
  <c r="E83" i="3" s="1"/>
  <c r="D82" i="3"/>
  <c r="D84" i="3"/>
  <c r="D83" i="3" s="1"/>
  <c r="E13" i="2"/>
  <c r="F204" i="6"/>
  <c r="F338" i="6" l="1"/>
  <c r="F341" i="6"/>
  <c r="F334" i="6"/>
  <c r="F258" i="6" l="1"/>
  <c r="F155" i="5" s="1"/>
  <c r="D155" i="5" s="1"/>
  <c r="F254" i="6"/>
  <c r="F154" i="5" s="1"/>
  <c r="D154" i="5" s="1"/>
  <c r="F252" i="6"/>
  <c r="F153" i="5" s="1"/>
  <c r="F250" i="6" l="1"/>
  <c r="F271" i="6" s="1"/>
  <c r="F152" i="5" l="1"/>
  <c r="F159" i="5" s="1"/>
  <c r="F333" i="6"/>
  <c r="F108" i="5"/>
  <c r="C147" i="3" l="1"/>
  <c r="C75" i="3"/>
  <c r="C22" i="4"/>
  <c r="C43" i="4"/>
  <c r="C36" i="4"/>
  <c r="C37" i="4"/>
  <c r="C38" i="4"/>
  <c r="C35" i="4"/>
  <c r="C9" i="4"/>
  <c r="F300" i="5"/>
  <c r="F301" i="5"/>
  <c r="C148" i="5"/>
  <c r="F13" i="2"/>
  <c r="D13" i="2" l="1"/>
  <c r="F26" i="2"/>
  <c r="F30" i="2"/>
  <c r="F27" i="2"/>
  <c r="D58" i="3" l="1"/>
  <c r="G111" i="6"/>
  <c r="F35" i="3"/>
  <c r="I464" i="6"/>
  <c r="I312" i="6"/>
  <c r="I313" i="6"/>
  <c r="F146" i="6" l="1"/>
  <c r="F147" i="6"/>
  <c r="J523" i="6"/>
  <c r="J517" i="6"/>
  <c r="I474" i="6"/>
  <c r="D146" i="3" l="1"/>
  <c r="D145" i="3"/>
  <c r="F147" i="3"/>
  <c r="D147" i="3" l="1"/>
  <c r="F321" i="6"/>
  <c r="F95" i="6"/>
  <c r="F98" i="6" s="1"/>
  <c r="F114" i="6" l="1"/>
  <c r="F509" i="6" l="1"/>
  <c r="F508" i="6" s="1"/>
  <c r="C511" i="6" s="1"/>
  <c r="F454" i="6"/>
  <c r="F443" i="6"/>
  <c r="F449" i="6"/>
  <c r="F448" i="6"/>
  <c r="F438" i="6"/>
  <c r="F439" i="6"/>
  <c r="F441" i="6"/>
  <c r="F440" i="6"/>
  <c r="F361" i="6"/>
  <c r="F360" i="6" s="1"/>
  <c r="F365" i="6"/>
  <c r="F364" i="6"/>
  <c r="F352" i="6"/>
  <c r="F200" i="5" s="1"/>
  <c r="D200" i="5" s="1"/>
  <c r="F351" i="6"/>
  <c r="F298" i="6"/>
  <c r="F297" i="6"/>
  <c r="F295" i="6" s="1"/>
  <c r="F293" i="6"/>
  <c r="F292" i="6"/>
  <c r="F285" i="6"/>
  <c r="F284" i="6"/>
  <c r="J348" i="6"/>
  <c r="K329" i="6"/>
  <c r="K129" i="6"/>
  <c r="K230" i="6"/>
  <c r="K276" i="6"/>
  <c r="F452" i="6" l="1"/>
  <c r="F258" i="5" s="1"/>
  <c r="D258" i="5" s="1"/>
  <c r="F447" i="6"/>
  <c r="F203" i="6" l="1"/>
  <c r="F202" i="6"/>
  <c r="F201" i="6" s="1"/>
  <c r="F232" i="6" l="1"/>
  <c r="F133" i="6"/>
  <c r="F134" i="6"/>
  <c r="F84" i="6"/>
  <c r="F81" i="6"/>
  <c r="F82" i="6"/>
  <c r="F83" i="6"/>
  <c r="I72" i="6"/>
  <c r="I73" i="6"/>
  <c r="F74" i="6"/>
  <c r="I71" i="6"/>
  <c r="F397" i="6" l="1"/>
  <c r="F396" i="6"/>
  <c r="F184" i="5"/>
  <c r="F76" i="6"/>
  <c r="F77" i="6"/>
  <c r="I77" i="6" s="1"/>
  <c r="F75" i="6"/>
  <c r="I75" i="6" s="1"/>
  <c r="I79" i="6"/>
  <c r="C34" i="6"/>
  <c r="F29" i="6"/>
  <c r="F28" i="6"/>
  <c r="F27" i="6"/>
  <c r="F19" i="6"/>
  <c r="F18" i="6"/>
  <c r="F20" i="6"/>
  <c r="F24" i="6"/>
  <c r="F23" i="6"/>
  <c r="F22" i="6"/>
  <c r="F21" i="6"/>
  <c r="F17" i="6"/>
  <c r="F16" i="6"/>
  <c r="F229" i="6"/>
  <c r="F60" i="6"/>
  <c r="F56" i="6"/>
  <c r="F57" i="6"/>
  <c r="F261" i="5"/>
  <c r="E261" i="5" s="1"/>
  <c r="F311" i="6"/>
  <c r="F276" i="6"/>
  <c r="F148" i="6"/>
  <c r="F54" i="6"/>
  <c r="F53" i="6"/>
  <c r="F52" i="6"/>
  <c r="F378" i="6"/>
  <c r="F50" i="6"/>
  <c r="F376" i="6"/>
  <c r="F310" i="6"/>
  <c r="F309" i="6" s="1"/>
  <c r="F48" i="6"/>
  <c r="F46" i="6"/>
  <c r="C12" i="4"/>
  <c r="F37" i="6"/>
  <c r="F38" i="6"/>
  <c r="K36" i="3"/>
  <c r="F398" i="6" l="1"/>
  <c r="F226" i="5" s="1"/>
  <c r="E226" i="5" s="1"/>
  <c r="F149" i="6"/>
  <c r="F156" i="6" s="1"/>
  <c r="E76" i="3"/>
  <c r="E12" i="2" s="1"/>
  <c r="F316" i="6" l="1"/>
  <c r="C44" i="2"/>
  <c r="E44" i="2"/>
  <c r="C78" i="3"/>
  <c r="C45" i="3"/>
  <c r="C17" i="4"/>
  <c r="C20" i="4"/>
  <c r="C72" i="4"/>
  <c r="C33" i="4"/>
  <c r="C455" i="6" l="1"/>
  <c r="F43" i="5" l="1"/>
  <c r="F44" i="2"/>
  <c r="F103" i="5" l="1"/>
  <c r="F78" i="3"/>
  <c r="F12" i="2" l="1"/>
  <c r="D12" i="2" s="1"/>
  <c r="F88" i="3"/>
  <c r="F176" i="5"/>
  <c r="D176" i="5" s="1"/>
  <c r="F363" i="6"/>
  <c r="C369" i="6" s="1"/>
  <c r="F366" i="6" l="1"/>
  <c r="F120" i="3" l="1"/>
  <c r="I48" i="3" l="1"/>
  <c r="J47" i="3" s="1"/>
  <c r="I43" i="3"/>
  <c r="J43" i="3" s="1"/>
  <c r="J37" i="3"/>
  <c r="F510" i="6" l="1"/>
  <c r="I227" i="6" l="1"/>
  <c r="F231" i="6"/>
  <c r="I233" i="6"/>
  <c r="F212" i="6" l="1"/>
  <c r="F91" i="5"/>
  <c r="D91" i="5" s="1"/>
  <c r="F197" i="6" l="1"/>
  <c r="F34" i="5" l="1"/>
  <c r="I87" i="6"/>
  <c r="I85" i="6"/>
  <c r="I86" i="6"/>
  <c r="I89" i="6"/>
  <c r="F88" i="6" l="1"/>
  <c r="I88" i="6" s="1"/>
  <c r="I70" i="6"/>
  <c r="I69" i="6"/>
  <c r="I65" i="6"/>
  <c r="I66" i="6"/>
  <c r="I67" i="6"/>
  <c r="F33" i="5" l="1"/>
  <c r="F34" i="6"/>
  <c r="F109" i="5"/>
  <c r="F76" i="4" s="1"/>
  <c r="I322" i="6"/>
  <c r="I321" i="6"/>
  <c r="I316" i="6"/>
  <c r="I315" i="6"/>
  <c r="I314" i="6"/>
  <c r="I310" i="6"/>
  <c r="I317" i="6"/>
  <c r="I318" i="6"/>
  <c r="I319" i="6"/>
  <c r="I324" i="6"/>
  <c r="I325" i="6"/>
  <c r="I305" i="6"/>
  <c r="I306" i="6"/>
  <c r="I307" i="6"/>
  <c r="I308" i="6"/>
  <c r="I304" i="6"/>
  <c r="F303" i="6"/>
  <c r="C301" i="6"/>
  <c r="F301" i="6" s="1"/>
  <c r="F291" i="6"/>
  <c r="C300" i="6" s="1"/>
  <c r="F300" i="6" s="1"/>
  <c r="G24" i="6" l="1"/>
  <c r="F40" i="6"/>
  <c r="F31" i="6"/>
  <c r="F183" i="5"/>
  <c r="F180" i="5"/>
  <c r="D180" i="5" s="1"/>
  <c r="F320" i="6"/>
  <c r="F185" i="5" s="1"/>
  <c r="F181" i="5"/>
  <c r="I320" i="6" l="1"/>
  <c r="I326" i="6" s="1"/>
  <c r="F304" i="5" l="1"/>
  <c r="F302" i="5"/>
  <c r="F215" i="5"/>
  <c r="F380" i="6"/>
  <c r="H380" i="6" s="1"/>
  <c r="H379" i="6"/>
  <c r="H383" i="6"/>
  <c r="H384" i="6"/>
  <c r="H378" i="6"/>
  <c r="H376" i="6"/>
  <c r="H371" i="6"/>
  <c r="C368" i="6"/>
  <c r="F368" i="6" s="1"/>
  <c r="F470" i="6"/>
  <c r="I467" i="6"/>
  <c r="F466" i="6"/>
  <c r="F515" i="6" l="1"/>
  <c r="F303" i="5"/>
  <c r="D303" i="5" s="1"/>
  <c r="C512" i="6"/>
  <c r="E512" i="6" s="1"/>
  <c r="F214" i="5"/>
  <c r="F375" i="6"/>
  <c r="F377" i="6"/>
  <c r="I459" i="6"/>
  <c r="I461" i="6"/>
  <c r="I460" i="6"/>
  <c r="I465" i="6"/>
  <c r="I469" i="6"/>
  <c r="I470" i="6"/>
  <c r="I472" i="6"/>
  <c r="I462" i="6"/>
  <c r="C456" i="6"/>
  <c r="E456" i="6" s="1"/>
  <c r="G440" i="6" l="1"/>
  <c r="F456" i="6"/>
  <c r="G456" i="6" s="1"/>
  <c r="D62" i="3" l="1"/>
  <c r="D57" i="3"/>
  <c r="D59" i="3"/>
  <c r="C56" i="3"/>
  <c r="C88" i="3" s="1"/>
  <c r="C64" i="3"/>
  <c r="C70" i="3"/>
  <c r="D68" i="3"/>
  <c r="D67" i="3"/>
  <c r="D66" i="3"/>
  <c r="D61" i="3"/>
  <c r="C35" i="3"/>
  <c r="C57" i="4"/>
  <c r="C53" i="4"/>
  <c r="C41" i="4"/>
  <c r="C15" i="4"/>
  <c r="C86" i="5"/>
  <c r="F173" i="5"/>
  <c r="D173" i="5" s="1"/>
  <c r="C29" i="8"/>
  <c r="J25" i="7"/>
  <c r="J24" i="7"/>
  <c r="H24" i="7"/>
  <c r="F24" i="7"/>
  <c r="J21" i="7"/>
  <c r="H21" i="7"/>
  <c r="F21" i="7"/>
  <c r="J20" i="7"/>
  <c r="H20" i="7"/>
  <c r="F20" i="7"/>
  <c r="J19" i="7"/>
  <c r="J18" i="7"/>
  <c r="H18" i="7"/>
  <c r="F18" i="7"/>
  <c r="J17" i="7"/>
  <c r="F17" i="7"/>
  <c r="J16" i="7"/>
  <c r="D56" i="3" l="1"/>
  <c r="F9" i="2"/>
  <c r="F10" i="2"/>
  <c r="E70" i="3"/>
  <c r="D70" i="3"/>
  <c r="J14" i="7"/>
  <c r="J13" i="7"/>
  <c r="H13" i="7"/>
  <c r="G13" i="7"/>
  <c r="F13" i="7"/>
  <c r="J12" i="7"/>
  <c r="H12" i="7"/>
  <c r="F12" i="7"/>
  <c r="J11" i="7"/>
  <c r="J9" i="7"/>
  <c r="F51" i="6" l="1"/>
  <c r="F410" i="6" l="1"/>
  <c r="I84" i="6" l="1"/>
  <c r="C403" i="6"/>
  <c r="E403" i="6" s="1"/>
  <c r="F433" i="6"/>
  <c r="H117" i="6"/>
  <c r="J117" i="6" s="1"/>
  <c r="C16" i="8" l="1"/>
  <c r="E169" i="3"/>
  <c r="E163" i="3"/>
  <c r="E162" i="3"/>
  <c r="E157" i="3"/>
  <c r="E156" i="3"/>
  <c r="E140" i="3"/>
  <c r="E139" i="3"/>
  <c r="E124" i="3"/>
  <c r="E109" i="3"/>
  <c r="E108" i="3"/>
  <c r="E98" i="3"/>
  <c r="E93" i="3"/>
  <c r="E56" i="3"/>
  <c r="E39" i="3"/>
  <c r="E40" i="3"/>
  <c r="E34" i="3"/>
  <c r="E15" i="3"/>
  <c r="E16" i="3"/>
  <c r="E22" i="3"/>
  <c r="F257" i="5"/>
  <c r="E257" i="5" s="1"/>
  <c r="D301" i="5" l="1"/>
  <c r="E511" i="6"/>
  <c r="D60" i="4"/>
  <c r="D62" i="4"/>
  <c r="D23" i="4"/>
  <c r="D24" i="4"/>
  <c r="D25" i="4"/>
  <c r="D27" i="4"/>
  <c r="D28" i="4"/>
  <c r="D29" i="4"/>
  <c r="D30" i="4"/>
  <c r="D31" i="4"/>
  <c r="D32" i="4"/>
  <c r="D261" i="5" l="1"/>
  <c r="D257" i="5"/>
  <c r="F233" i="5"/>
  <c r="C233" i="5"/>
  <c r="D103" i="3" l="1"/>
  <c r="D37" i="2"/>
  <c r="D40" i="2"/>
  <c r="D19" i="1" s="1"/>
  <c r="D41" i="2"/>
  <c r="D163" i="3"/>
  <c r="D164" i="3"/>
  <c r="D165" i="3"/>
  <c r="D166" i="3"/>
  <c r="D167" i="3"/>
  <c r="D168" i="3"/>
  <c r="D169" i="3"/>
  <c r="D170" i="3"/>
  <c r="D171" i="3"/>
  <c r="D172" i="3"/>
  <c r="D162" i="3"/>
  <c r="D157" i="3"/>
  <c r="D156" i="3"/>
  <c r="D151" i="3"/>
  <c r="D140" i="3"/>
  <c r="D139" i="3"/>
  <c r="D134" i="3"/>
  <c r="D124" i="3"/>
  <c r="D119" i="3"/>
  <c r="D114" i="3"/>
  <c r="D109" i="3"/>
  <c r="D108" i="3"/>
  <c r="D98" i="3"/>
  <c r="D93" i="3"/>
  <c r="D86" i="3"/>
  <c r="D87" i="3"/>
  <c r="D44" i="2" s="1"/>
  <c r="D78" i="3"/>
  <c r="D79" i="3"/>
  <c r="D80" i="3"/>
  <c r="D81" i="3"/>
  <c r="D85" i="3"/>
  <c r="D76" i="3"/>
  <c r="D71" i="3"/>
  <c r="D72" i="3"/>
  <c r="D73" i="3"/>
  <c r="D65" i="3"/>
  <c r="D40" i="3"/>
  <c r="D39" i="3"/>
  <c r="D32" i="3"/>
  <c r="D33" i="3"/>
  <c r="D34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10" i="3"/>
  <c r="D56" i="4"/>
  <c r="D52" i="4"/>
  <c r="E23" i="4"/>
  <c r="E24" i="4"/>
  <c r="E25" i="4"/>
  <c r="E27" i="4"/>
  <c r="E28" i="4"/>
  <c r="E29" i="4"/>
  <c r="E30" i="4"/>
  <c r="E31" i="4"/>
  <c r="E32" i="4"/>
  <c r="D61" i="5"/>
  <c r="D65" i="5"/>
  <c r="D67" i="5"/>
  <c r="D68" i="5"/>
  <c r="D312" i="5"/>
  <c r="D302" i="5"/>
  <c r="D239" i="5"/>
  <c r="D184" i="5"/>
  <c r="D186" i="5"/>
  <c r="D145" i="5"/>
  <c r="D144" i="5"/>
  <c r="D136" i="5"/>
  <c r="D93" i="5"/>
  <c r="C19" i="1"/>
  <c r="C18" i="1"/>
  <c r="I19" i="1"/>
  <c r="C43" i="2"/>
  <c r="C17" i="1" s="1"/>
  <c r="C39" i="2"/>
  <c r="C38" i="2"/>
  <c r="C36" i="2"/>
  <c r="C24" i="2"/>
  <c r="C23" i="2"/>
  <c r="C22" i="2"/>
  <c r="C21" i="2"/>
  <c r="C18" i="2"/>
  <c r="C20" i="2" s="1"/>
  <c r="C11" i="1" s="1"/>
  <c r="E18" i="2"/>
  <c r="C16" i="2"/>
  <c r="C17" i="2" s="1"/>
  <c r="C10" i="1" s="1"/>
  <c r="D41" i="3" l="1"/>
  <c r="C14" i="2"/>
  <c r="C9" i="1" s="1"/>
  <c r="C35" i="2"/>
  <c r="C13" i="1" s="1"/>
  <c r="C42" i="2"/>
  <c r="C16" i="1" s="1"/>
  <c r="C25" i="2"/>
  <c r="C12" i="1" s="1"/>
  <c r="D18" i="2"/>
  <c r="F29" i="2"/>
  <c r="D29" i="2" s="1"/>
  <c r="F34" i="2"/>
  <c r="D34" i="2" s="1"/>
  <c r="F32" i="2"/>
  <c r="D32" i="2" s="1"/>
  <c r="F31" i="2"/>
  <c r="D31" i="2" s="1"/>
  <c r="D30" i="2"/>
  <c r="F28" i="2"/>
  <c r="D28" i="2" s="1"/>
  <c r="D26" i="2"/>
  <c r="F173" i="3"/>
  <c r="C61" i="4"/>
  <c r="C63" i="4"/>
  <c r="C74" i="4"/>
  <c r="I20" i="1" s="1"/>
  <c r="E74" i="4"/>
  <c r="C75" i="4"/>
  <c r="C78" i="4"/>
  <c r="I17" i="1" s="1"/>
  <c r="C77" i="4"/>
  <c r="I18" i="1" s="1"/>
  <c r="C76" i="4"/>
  <c r="I14" i="1" s="1"/>
  <c r="C71" i="4"/>
  <c r="C70" i="4"/>
  <c r="C69" i="4"/>
  <c r="C68" i="4"/>
  <c r="C67" i="4"/>
  <c r="C66" i="4"/>
  <c r="C65" i="4"/>
  <c r="C49" i="4"/>
  <c r="C48" i="4"/>
  <c r="C47" i="4"/>
  <c r="C46" i="4"/>
  <c r="C45" i="4"/>
  <c r="C44" i="4"/>
  <c r="C42" i="4"/>
  <c r="C40" i="4"/>
  <c r="C39" i="4"/>
  <c r="C34" i="4"/>
  <c r="C26" i="4"/>
  <c r="C18" i="4"/>
  <c r="C16" i="4"/>
  <c r="C14" i="4"/>
  <c r="C13" i="4"/>
  <c r="C11" i="4"/>
  <c r="C10" i="4"/>
  <c r="C173" i="3"/>
  <c r="C318" i="5"/>
  <c r="C307" i="5"/>
  <c r="C291" i="5"/>
  <c r="C158" i="3"/>
  <c r="C285" i="5"/>
  <c r="J22" i="7" s="1"/>
  <c r="C152" i="3"/>
  <c r="C279" i="5"/>
  <c r="C141" i="3"/>
  <c r="C271" i="5"/>
  <c r="C250" i="5"/>
  <c r="C245" i="5"/>
  <c r="C227" i="5"/>
  <c r="C125" i="3"/>
  <c r="C222" i="5"/>
  <c r="C120" i="3"/>
  <c r="C195" i="5"/>
  <c r="C167" i="5"/>
  <c r="C159" i="5"/>
  <c r="C110" i="3"/>
  <c r="C140" i="5"/>
  <c r="C120" i="5"/>
  <c r="C110" i="5"/>
  <c r="C19" i="4" l="1"/>
  <c r="C50" i="4"/>
  <c r="C15" i="1"/>
  <c r="C22" i="1" s="1"/>
  <c r="E173" i="3"/>
  <c r="C45" i="2"/>
  <c r="C64" i="4"/>
  <c r="I13" i="1" s="1"/>
  <c r="C21" i="4"/>
  <c r="I10" i="1" s="1"/>
  <c r="C58" i="4"/>
  <c r="I12" i="1" s="1"/>
  <c r="I9" i="1"/>
  <c r="C73" i="4"/>
  <c r="I16" i="1" s="1"/>
  <c r="I21" i="1"/>
  <c r="F218" i="5"/>
  <c r="F35" i="5"/>
  <c r="F44" i="5"/>
  <c r="C80" i="4" l="1"/>
  <c r="E35" i="5"/>
  <c r="D35" i="5"/>
  <c r="E44" i="5"/>
  <c r="D44" i="5"/>
  <c r="D78" i="4" s="1"/>
  <c r="D218" i="5"/>
  <c r="F41" i="3"/>
  <c r="F94" i="3"/>
  <c r="F110" i="3"/>
  <c r="E110" i="3" s="1"/>
  <c r="F125" i="3"/>
  <c r="F141" i="3"/>
  <c r="E141" i="3" s="1"/>
  <c r="F158" i="3"/>
  <c r="E158" i="3" s="1"/>
  <c r="F179" i="5"/>
  <c r="F246" i="6" l="1"/>
  <c r="F55" i="6"/>
  <c r="F49" i="6"/>
  <c r="F45" i="6"/>
  <c r="F463" i="6" l="1"/>
  <c r="F479" i="6" s="1"/>
  <c r="I62" i="6"/>
  <c r="F279" i="6"/>
  <c r="I266" i="6"/>
  <c r="I267" i="6"/>
  <c r="I265" i="6"/>
  <c r="I162" i="6"/>
  <c r="I163" i="6"/>
  <c r="I166" i="6"/>
  <c r="I160" i="6"/>
  <c r="I152" i="6" l="1"/>
  <c r="I473" i="6"/>
  <c r="I475" i="6" s="1"/>
  <c r="F263" i="5"/>
  <c r="E263" i="5" s="1"/>
  <c r="I270" i="6"/>
  <c r="C278" i="6"/>
  <c r="I64" i="6"/>
  <c r="I68" i="6"/>
  <c r="D263" i="5" l="1"/>
  <c r="I226" i="6"/>
  <c r="I228" i="6"/>
  <c r="F230" i="6"/>
  <c r="F238" i="6" s="1"/>
  <c r="I82" i="6"/>
  <c r="I83" i="6"/>
  <c r="I57" i="6"/>
  <c r="F63" i="6"/>
  <c r="I61" i="6"/>
  <c r="I58" i="6"/>
  <c r="I50" i="6"/>
  <c r="I48" i="6"/>
  <c r="I52" i="6"/>
  <c r="I53" i="6"/>
  <c r="I54" i="6"/>
  <c r="I76" i="6"/>
  <c r="I39" i="6"/>
  <c r="I41" i="6"/>
  <c r="I42" i="6"/>
  <c r="I43" i="6"/>
  <c r="I44" i="6"/>
  <c r="I47" i="6"/>
  <c r="I37" i="6"/>
  <c r="F127" i="6"/>
  <c r="E24" i="3" l="1"/>
  <c r="C234" i="6"/>
  <c r="I56" i="6"/>
  <c r="F59" i="6"/>
  <c r="I38" i="6"/>
  <c r="D24" i="3"/>
  <c r="F80" i="6"/>
  <c r="F31" i="5" s="1"/>
  <c r="I232" i="6"/>
  <c r="I60" i="6"/>
  <c r="I229" i="6"/>
  <c r="I81" i="6"/>
  <c r="F372" i="6"/>
  <c r="F392" i="6" s="1"/>
  <c r="I234" i="6" l="1"/>
  <c r="H372" i="6"/>
  <c r="I11" i="1" l="1"/>
  <c r="I15" i="1" s="1"/>
  <c r="I22" i="1" s="1"/>
  <c r="J10" i="7"/>
  <c r="G285" i="6" l="1"/>
  <c r="C104" i="5"/>
  <c r="C98" i="5"/>
  <c r="C71" i="5"/>
  <c r="J8" i="7"/>
  <c r="J26" i="7" s="1"/>
  <c r="H8" i="7"/>
  <c r="F8" i="7"/>
  <c r="D41" i="5"/>
  <c r="D11" i="5"/>
  <c r="D39" i="5"/>
  <c r="D40" i="5"/>
  <c r="D42" i="5"/>
  <c r="D55" i="5"/>
  <c r="C56" i="5" l="1"/>
  <c r="C322" i="5" s="1"/>
  <c r="C83" i="4" s="1"/>
  <c r="D54" i="3"/>
  <c r="D46" i="3"/>
  <c r="D47" i="3"/>
  <c r="D48" i="3"/>
  <c r="D49" i="3"/>
  <c r="D50" i="3"/>
  <c r="D51" i="3"/>
  <c r="D52" i="3"/>
  <c r="D53" i="3"/>
  <c r="H17" i="7" l="1"/>
  <c r="H26" i="7" s="1"/>
  <c r="F11" i="7"/>
  <c r="F26" i="7" s="1"/>
  <c r="D153" i="5"/>
  <c r="D152" i="5"/>
  <c r="D159" i="5" s="1"/>
  <c r="F85" i="5"/>
  <c r="F84" i="5"/>
  <c r="F83" i="5"/>
  <c r="D85" i="5" l="1"/>
  <c r="D108" i="5"/>
  <c r="E108" i="5"/>
  <c r="D83" i="5"/>
  <c r="D84" i="5"/>
  <c r="F66" i="4"/>
  <c r="D66" i="4" l="1"/>
  <c r="F202" i="5"/>
  <c r="D202" i="5" l="1"/>
  <c r="F11" i="4"/>
  <c r="D11" i="4" s="1"/>
  <c r="F207" i="5" l="1"/>
  <c r="C406" i="6"/>
  <c r="E406" i="6" s="1"/>
  <c r="C409" i="6"/>
  <c r="E409" i="6" s="1"/>
  <c r="F531" i="6"/>
  <c r="F311" i="5"/>
  <c r="D207" i="5" l="1"/>
  <c r="E207" i="5"/>
  <c r="D311" i="5"/>
  <c r="C521" i="6"/>
  <c r="F164" i="6"/>
  <c r="C118" i="6"/>
  <c r="I80" i="6"/>
  <c r="I45" i="6"/>
  <c r="F13" i="6"/>
  <c r="F14" i="6" l="1"/>
  <c r="C33" i="6" l="1"/>
  <c r="F33" i="6" s="1"/>
  <c r="G35" i="6" s="1"/>
  <c r="D64" i="3"/>
  <c r="E64" i="3"/>
  <c r="E76" i="4"/>
  <c r="E109" i="5"/>
  <c r="D109" i="5"/>
  <c r="D76" i="4" s="1"/>
  <c r="F61" i="4"/>
  <c r="E61" i="4" l="1"/>
  <c r="D61" i="4"/>
  <c r="F115" i="3"/>
  <c r="F16" i="2" s="1"/>
  <c r="D115" i="3"/>
  <c r="F221" i="5"/>
  <c r="D221" i="5" s="1"/>
  <c r="F220" i="5"/>
  <c r="D220" i="5" s="1"/>
  <c r="F219" i="5"/>
  <c r="D16" i="2" l="1"/>
  <c r="E16" i="2"/>
  <c r="G24" i="7"/>
  <c r="D304" i="5"/>
  <c r="I24" i="7"/>
  <c r="D300" i="5"/>
  <c r="D219" i="5"/>
  <c r="C99" i="3"/>
  <c r="C104" i="3"/>
  <c r="C94" i="3"/>
  <c r="C41" i="3"/>
  <c r="C175" i="3" l="1"/>
  <c r="C49" i="2" s="1"/>
  <c r="E35" i="3"/>
  <c r="F19" i="2"/>
  <c r="D19" i="2" s="1"/>
  <c r="D20" i="2" s="1"/>
  <c r="F15" i="2"/>
  <c r="F39" i="2"/>
  <c r="D39" i="2" s="1"/>
  <c r="F38" i="2"/>
  <c r="D38" i="2" s="1"/>
  <c r="F33" i="2"/>
  <c r="D33" i="2" s="1"/>
  <c r="F24" i="2"/>
  <c r="D24" i="2" s="1"/>
  <c r="F23" i="2"/>
  <c r="D23" i="2" s="1"/>
  <c r="F21" i="2"/>
  <c r="D21" i="2" s="1"/>
  <c r="F35" i="2" l="1"/>
  <c r="E35" i="2" s="1"/>
  <c r="D27" i="2"/>
  <c r="F20" i="2"/>
  <c r="F17" i="2"/>
  <c r="E17" i="2" s="1"/>
  <c r="F264" i="5"/>
  <c r="E264" i="5" s="1"/>
  <c r="D264" i="5" l="1"/>
  <c r="F10" i="1"/>
  <c r="F244" i="5"/>
  <c r="F243" i="5"/>
  <c r="E24" i="2"/>
  <c r="E21" i="2"/>
  <c r="F152" i="3"/>
  <c r="E120" i="3"/>
  <c r="D120" i="3"/>
  <c r="F104" i="3"/>
  <c r="E104" i="3"/>
  <c r="D104" i="3"/>
  <c r="F110" i="5"/>
  <c r="E110" i="5" l="1"/>
  <c r="G197" i="6"/>
  <c r="D10" i="1"/>
  <c r="E10" i="1"/>
  <c r="D243" i="5"/>
  <c r="D244" i="5"/>
  <c r="F36" i="2"/>
  <c r="D36" i="2" s="1"/>
  <c r="D158" i="3"/>
  <c r="D152" i="3"/>
  <c r="F42" i="2" l="1"/>
  <c r="E42" i="2" s="1"/>
  <c r="D9" i="2"/>
  <c r="F16" i="1" l="1"/>
  <c r="D10" i="2"/>
  <c r="F315" i="5"/>
  <c r="E45" i="3" l="1"/>
  <c r="D45" i="3"/>
  <c r="D16" i="1"/>
  <c r="E16" i="1"/>
  <c r="D315" i="5"/>
  <c r="F316" i="5"/>
  <c r="F8" i="2"/>
  <c r="F57" i="4"/>
  <c r="D57" i="4" s="1"/>
  <c r="F314" i="5"/>
  <c r="F313" i="5"/>
  <c r="F295" i="5"/>
  <c r="D295" i="5" s="1"/>
  <c r="F306" i="5"/>
  <c r="D306" i="5" s="1"/>
  <c r="F305" i="5"/>
  <c r="F43" i="4" s="1"/>
  <c r="E43" i="4" s="1"/>
  <c r="F284" i="5"/>
  <c r="F283" i="5"/>
  <c r="F490" i="6"/>
  <c r="K24" i="7" l="1"/>
  <c r="F307" i="5"/>
  <c r="K25" i="7"/>
  <c r="D8" i="2"/>
  <c r="F256" i="5"/>
  <c r="D256" i="5" s="1"/>
  <c r="E283" i="5"/>
  <c r="D283" i="5"/>
  <c r="E284" i="5"/>
  <c r="D284" i="5"/>
  <c r="D313" i="5"/>
  <c r="F53" i="4"/>
  <c r="D53" i="4" s="1"/>
  <c r="D316" i="5"/>
  <c r="D305" i="5"/>
  <c r="D307" i="5" s="1"/>
  <c r="D314" i="5"/>
  <c r="F255" i="5"/>
  <c r="E521" i="6"/>
  <c r="F285" i="5"/>
  <c r="E285" i="5" s="1"/>
  <c r="F242" i="5"/>
  <c r="F241" i="5"/>
  <c r="F240" i="5"/>
  <c r="F238" i="5"/>
  <c r="F237" i="5"/>
  <c r="K19" i="7"/>
  <c r="F211" i="5"/>
  <c r="F203" i="5"/>
  <c r="F204" i="5"/>
  <c r="G490" i="6" l="1"/>
  <c r="E307" i="5"/>
  <c r="G515" i="6"/>
  <c r="K20" i="7"/>
  <c r="F12" i="4"/>
  <c r="D12" i="4" s="1"/>
  <c r="D241" i="5"/>
  <c r="D203" i="5"/>
  <c r="E203" i="5"/>
  <c r="D237" i="5"/>
  <c r="D242" i="5"/>
  <c r="D226" i="5"/>
  <c r="D227" i="5" s="1"/>
  <c r="D238" i="5"/>
  <c r="D204" i="5"/>
  <c r="E211" i="5"/>
  <c r="D211" i="5"/>
  <c r="D240" i="5"/>
  <c r="E255" i="5"/>
  <c r="D255" i="5"/>
  <c r="D285" i="5"/>
  <c r="K22" i="7"/>
  <c r="G20" i="7"/>
  <c r="I20" i="7"/>
  <c r="F13" i="4"/>
  <c r="D13" i="4" s="1"/>
  <c r="F245" i="5"/>
  <c r="G410" i="6" s="1"/>
  <c r="F227" i="5"/>
  <c r="E227" i="5" s="1"/>
  <c r="F194" i="5"/>
  <c r="D194" i="5" s="1"/>
  <c r="D74" i="4" s="1"/>
  <c r="F193" i="5"/>
  <c r="F192" i="5"/>
  <c r="C341" i="6"/>
  <c r="F188" i="5"/>
  <c r="F175" i="5"/>
  <c r="F163" i="5"/>
  <c r="F176" i="6"/>
  <c r="F222" i="6"/>
  <c r="E278" i="6"/>
  <c r="F147" i="5"/>
  <c r="F146" i="5"/>
  <c r="E12" i="4" l="1"/>
  <c r="D175" i="5"/>
  <c r="E175" i="5"/>
  <c r="D192" i="5"/>
  <c r="D193" i="5"/>
  <c r="D188" i="5"/>
  <c r="F71" i="4"/>
  <c r="D146" i="5"/>
  <c r="E147" i="5"/>
  <c r="D147" i="5"/>
  <c r="E163" i="5"/>
  <c r="D163" i="5"/>
  <c r="D245" i="5"/>
  <c r="I13" i="7"/>
  <c r="K13" i="7"/>
  <c r="F74" i="4"/>
  <c r="F119" i="5"/>
  <c r="F118" i="5"/>
  <c r="F114" i="5"/>
  <c r="G12" i="7" s="1"/>
  <c r="C206" i="6"/>
  <c r="G206" i="6" s="1"/>
  <c r="F96" i="5"/>
  <c r="F82" i="5"/>
  <c r="E82" i="5" s="1"/>
  <c r="F81" i="5"/>
  <c r="F80" i="5"/>
  <c r="F79" i="5"/>
  <c r="F78" i="5"/>
  <c r="F77" i="5"/>
  <c r="F49" i="5"/>
  <c r="F37" i="5"/>
  <c r="E37" i="5" s="1"/>
  <c r="F36" i="5"/>
  <c r="E36" i="5" s="1"/>
  <c r="F30" i="5"/>
  <c r="E30" i="5" s="1"/>
  <c r="F27" i="5"/>
  <c r="E77" i="5" l="1"/>
  <c r="K10" i="7"/>
  <c r="E71" i="4"/>
  <c r="D71" i="4"/>
  <c r="D78" i="5"/>
  <c r="E78" i="5"/>
  <c r="D114" i="5"/>
  <c r="E114" i="5"/>
  <c r="D79" i="5"/>
  <c r="D38" i="4" s="1"/>
  <c r="E79" i="5"/>
  <c r="D96" i="5"/>
  <c r="D118" i="5"/>
  <c r="D148" i="5"/>
  <c r="D49" i="5"/>
  <c r="D80" i="5"/>
  <c r="E80" i="5"/>
  <c r="E103" i="5"/>
  <c r="D103" i="5"/>
  <c r="D75" i="4" s="1"/>
  <c r="D119" i="5"/>
  <c r="D81" i="5"/>
  <c r="E81" i="5"/>
  <c r="D77" i="5"/>
  <c r="F76" i="5"/>
  <c r="F115" i="5"/>
  <c r="I12" i="7" s="1"/>
  <c r="D82" i="5"/>
  <c r="D37" i="5"/>
  <c r="D30" i="5"/>
  <c r="D36" i="5"/>
  <c r="F42" i="4"/>
  <c r="F48" i="4"/>
  <c r="F47" i="4"/>
  <c r="F38" i="4"/>
  <c r="E38" i="4" s="1"/>
  <c r="F75" i="4"/>
  <c r="E75" i="4" s="1"/>
  <c r="E49" i="4" l="1"/>
  <c r="D49" i="4"/>
  <c r="E47" i="4"/>
  <c r="D47" i="4"/>
  <c r="E48" i="4"/>
  <c r="D48" i="4"/>
  <c r="E42" i="4"/>
  <c r="D42" i="4"/>
  <c r="E115" i="5"/>
  <c r="D115" i="5"/>
  <c r="E76" i="5"/>
  <c r="D76" i="5"/>
  <c r="F19" i="1"/>
  <c r="E22" i="2"/>
  <c r="E94" i="3" l="1"/>
  <c r="E43" i="2"/>
  <c r="D18" i="1" l="1"/>
  <c r="D173" i="3" l="1"/>
  <c r="D110" i="3"/>
  <c r="D141" i="3"/>
  <c r="E118" i="6"/>
  <c r="F18" i="1" l="1"/>
  <c r="F172" i="5" l="1"/>
  <c r="D172" i="5" l="1"/>
  <c r="F9" i="4"/>
  <c r="D9" i="4" s="1"/>
  <c r="F102" i="6"/>
  <c r="C237" i="6" l="1"/>
  <c r="E10" i="2" l="1"/>
  <c r="E8" i="2"/>
  <c r="F75" i="5"/>
  <c r="E75" i="5" s="1"/>
  <c r="F69" i="5"/>
  <c r="D69" i="5" s="1"/>
  <c r="F86" i="5" l="1"/>
  <c r="G156" i="6" s="1"/>
  <c r="E43" i="5"/>
  <c r="D43" i="5"/>
  <c r="D75" i="5"/>
  <c r="D86" i="5" s="1"/>
  <c r="F77" i="4"/>
  <c r="E77" i="4" s="1"/>
  <c r="E86" i="5" l="1"/>
  <c r="D77" i="4"/>
  <c r="F167" i="6"/>
  <c r="F170" i="6" s="1"/>
  <c r="C140" i="6"/>
  <c r="F70" i="5" s="1"/>
  <c r="D70" i="5" s="1"/>
  <c r="F135" i="6"/>
  <c r="F141" i="6" s="1"/>
  <c r="E169" i="6" l="1"/>
  <c r="E473" i="6"/>
  <c r="F92" i="5"/>
  <c r="F97" i="5"/>
  <c r="F95" i="5"/>
  <c r="C136" i="6"/>
  <c r="K11" i="7" l="1"/>
  <c r="E95" i="5"/>
  <c r="D95" i="5"/>
  <c r="E97" i="5"/>
  <c r="D97" i="5"/>
  <c r="E92" i="5"/>
  <c r="D92" i="5"/>
  <c r="F369" i="6"/>
  <c r="F78" i="4" l="1"/>
  <c r="E78" i="4" s="1"/>
  <c r="F317" i="5" l="1"/>
  <c r="F318" i="5" s="1"/>
  <c r="C500" i="6"/>
  <c r="F500" i="6" s="1"/>
  <c r="F495" i="6"/>
  <c r="F484" i="6"/>
  <c r="F249" i="5"/>
  <c r="H385" i="6"/>
  <c r="C245" i="6"/>
  <c r="F64" i="5"/>
  <c r="F32" i="5"/>
  <c r="E32" i="5" s="1"/>
  <c r="E31" i="5"/>
  <c r="I59" i="6"/>
  <c r="I90" i="6" s="1"/>
  <c r="F21" i="5"/>
  <c r="F15" i="5"/>
  <c r="F17" i="4" s="1"/>
  <c r="F289" i="5"/>
  <c r="F270" i="5"/>
  <c r="D270" i="5" s="1"/>
  <c r="F269" i="5"/>
  <c r="D269" i="5" s="1"/>
  <c r="F267" i="5"/>
  <c r="D267" i="5" s="1"/>
  <c r="F266" i="5"/>
  <c r="E266" i="5" s="1"/>
  <c r="F265" i="5"/>
  <c r="E265" i="5" s="1"/>
  <c r="F262" i="5"/>
  <c r="E262" i="5" s="1"/>
  <c r="F260" i="5"/>
  <c r="F217" i="5"/>
  <c r="F216" i="5"/>
  <c r="F213" i="5"/>
  <c r="F212" i="5"/>
  <c r="F210" i="5"/>
  <c r="F209" i="5"/>
  <c r="F206" i="5"/>
  <c r="F15" i="4" s="1"/>
  <c r="D15" i="4" s="1"/>
  <c r="F205" i="5"/>
  <c r="F201" i="5"/>
  <c r="F199" i="5"/>
  <c r="F187" i="5"/>
  <c r="F182" i="5"/>
  <c r="D182" i="5" s="1"/>
  <c r="F178" i="5"/>
  <c r="D178" i="5" s="1"/>
  <c r="F177" i="5"/>
  <c r="F165" i="5"/>
  <c r="F164" i="5"/>
  <c r="F137" i="5"/>
  <c r="F135" i="5"/>
  <c r="F133" i="5"/>
  <c r="F117" i="5"/>
  <c r="F116" i="5"/>
  <c r="F90" i="5"/>
  <c r="F66" i="5"/>
  <c r="F63" i="5"/>
  <c r="F62" i="5"/>
  <c r="D62" i="5" s="1"/>
  <c r="F60" i="5"/>
  <c r="E60" i="5" s="1"/>
  <c r="F50" i="5"/>
  <c r="F48" i="5"/>
  <c r="F47" i="5"/>
  <c r="E47" i="5" s="1"/>
  <c r="F45" i="5"/>
  <c r="F29" i="5"/>
  <c r="F26" i="5"/>
  <c r="F25" i="5"/>
  <c r="F23" i="5"/>
  <c r="F22" i="5"/>
  <c r="F33" i="4" s="1"/>
  <c r="F20" i="5"/>
  <c r="F16" i="5"/>
  <c r="E16" i="5" s="1"/>
  <c r="D13" i="5"/>
  <c r="L18" i="1"/>
  <c r="F135" i="3"/>
  <c r="D135" i="3"/>
  <c r="E125" i="3"/>
  <c r="D125" i="3"/>
  <c r="F99" i="3"/>
  <c r="F175" i="3" s="1"/>
  <c r="E99" i="3"/>
  <c r="D99" i="3"/>
  <c r="D94" i="3"/>
  <c r="E41" i="3"/>
  <c r="F43" i="2"/>
  <c r="D43" i="2" s="1"/>
  <c r="F22" i="2"/>
  <c r="E48" i="5" l="1"/>
  <c r="F67" i="4"/>
  <c r="F26" i="4"/>
  <c r="D17" i="4"/>
  <c r="D63" i="5"/>
  <c r="E63" i="5"/>
  <c r="F36" i="4"/>
  <c r="E36" i="4" s="1"/>
  <c r="G11" i="7"/>
  <c r="F98" i="5"/>
  <c r="G170" i="6" s="1"/>
  <c r="C334" i="6"/>
  <c r="E334" i="6" s="1"/>
  <c r="K12" i="7"/>
  <c r="E20" i="5"/>
  <c r="K18" i="7"/>
  <c r="D60" i="5"/>
  <c r="K9" i="7"/>
  <c r="G18" i="7"/>
  <c r="K21" i="7"/>
  <c r="E21" i="5"/>
  <c r="E29" i="5"/>
  <c r="F174" i="5"/>
  <c r="D174" i="5" s="1"/>
  <c r="F25" i="2"/>
  <c r="E25" i="2" s="1"/>
  <c r="D22" i="2"/>
  <c r="D22" i="5"/>
  <c r="E22" i="5"/>
  <c r="D117" i="5"/>
  <c r="D164" i="5"/>
  <c r="D36" i="4" s="1"/>
  <c r="E164" i="5"/>
  <c r="D205" i="5"/>
  <c r="E210" i="5"/>
  <c r="D210" i="5"/>
  <c r="E216" i="5"/>
  <c r="D216" i="5"/>
  <c r="D265" i="5"/>
  <c r="D185" i="5"/>
  <c r="E185" i="5"/>
  <c r="D249" i="5"/>
  <c r="D250" i="5" s="1"/>
  <c r="E249" i="5"/>
  <c r="D317" i="5"/>
  <c r="D318" i="5" s="1"/>
  <c r="D23" i="5"/>
  <c r="E23" i="5"/>
  <c r="D50" i="5"/>
  <c r="E50" i="5"/>
  <c r="E66" i="5"/>
  <c r="D66" i="5"/>
  <c r="E133" i="5"/>
  <c r="D133" i="5"/>
  <c r="E165" i="5"/>
  <c r="D165" i="5"/>
  <c r="D187" i="5"/>
  <c r="E187" i="5"/>
  <c r="E206" i="5"/>
  <c r="D206" i="5"/>
  <c r="E212" i="5"/>
  <c r="D212" i="5"/>
  <c r="E217" i="5"/>
  <c r="D217" i="5"/>
  <c r="D266" i="5"/>
  <c r="F46" i="5"/>
  <c r="E46" i="5" s="1"/>
  <c r="D45" i="5"/>
  <c r="D46" i="5" s="1"/>
  <c r="E177" i="5"/>
  <c r="D177" i="5"/>
  <c r="D260" i="5"/>
  <c r="E260" i="5"/>
  <c r="K18" i="1"/>
  <c r="J18" i="1"/>
  <c r="E90" i="5"/>
  <c r="D90" i="5"/>
  <c r="D98" i="5" s="1"/>
  <c r="E135" i="5"/>
  <c r="D135" i="5"/>
  <c r="E199" i="5"/>
  <c r="D199" i="5"/>
  <c r="E213" i="5"/>
  <c r="D213" i="5"/>
  <c r="D33" i="5"/>
  <c r="E181" i="5"/>
  <c r="D181" i="5"/>
  <c r="D37" i="4" s="1"/>
  <c r="E214" i="5"/>
  <c r="D214" i="5"/>
  <c r="D116" i="5"/>
  <c r="E137" i="5"/>
  <c r="D137" i="5"/>
  <c r="D201" i="5"/>
  <c r="E201" i="5"/>
  <c r="D209" i="5"/>
  <c r="E209" i="5"/>
  <c r="E215" i="5"/>
  <c r="D215" i="5"/>
  <c r="D262" i="5"/>
  <c r="E64" i="5"/>
  <c r="D64" i="5"/>
  <c r="D15" i="5"/>
  <c r="E15" i="5"/>
  <c r="D32" i="5"/>
  <c r="F44" i="4"/>
  <c r="E44" i="4" s="1"/>
  <c r="D16" i="5"/>
  <c r="F18" i="4"/>
  <c r="D18" i="4" s="1"/>
  <c r="F39" i="4"/>
  <c r="D21" i="5"/>
  <c r="F51" i="5"/>
  <c r="E51" i="5" s="1"/>
  <c r="F24" i="5"/>
  <c r="F35" i="4" s="1"/>
  <c r="E35" i="4" s="1"/>
  <c r="D20" i="5"/>
  <c r="D31" i="5"/>
  <c r="D47" i="5"/>
  <c r="D29" i="5"/>
  <c r="D48" i="5"/>
  <c r="F45" i="4"/>
  <c r="F10" i="4"/>
  <c r="D10" i="4" s="1"/>
  <c r="D110" i="5"/>
  <c r="F34" i="4"/>
  <c r="F22" i="4"/>
  <c r="F37" i="4"/>
  <c r="E37" i="4" s="1"/>
  <c r="F65" i="4"/>
  <c r="I17" i="7"/>
  <c r="F54" i="4"/>
  <c r="D54" i="4" s="1"/>
  <c r="K17" i="7"/>
  <c r="L17" i="1"/>
  <c r="F134" i="5"/>
  <c r="E234" i="6"/>
  <c r="D42" i="2"/>
  <c r="E9" i="2"/>
  <c r="F28" i="5"/>
  <c r="F40" i="4" s="1"/>
  <c r="F296" i="5"/>
  <c r="D296" i="5"/>
  <c r="F250" i="5"/>
  <c r="F79" i="4"/>
  <c r="L20" i="1"/>
  <c r="J20" i="1" s="1"/>
  <c r="F17" i="1"/>
  <c r="F11" i="1"/>
  <c r="D11" i="1" s="1"/>
  <c r="F102" i="5"/>
  <c r="F104" i="5" s="1"/>
  <c r="F166" i="5"/>
  <c r="F71" i="5"/>
  <c r="E245" i="6"/>
  <c r="F138" i="5"/>
  <c r="F70" i="4" s="1"/>
  <c r="F191" i="5"/>
  <c r="F69" i="4" s="1"/>
  <c r="E476" i="6"/>
  <c r="F476" i="6"/>
  <c r="F268" i="5" s="1"/>
  <c r="D268" i="5" s="1"/>
  <c r="F190" i="5"/>
  <c r="F68" i="4" s="1"/>
  <c r="F501" i="6"/>
  <c r="F290" i="5"/>
  <c r="F51" i="4"/>
  <c r="D51" i="4" s="1"/>
  <c r="F208" i="5"/>
  <c r="I18" i="7" s="1"/>
  <c r="F121" i="6"/>
  <c r="E136" i="6"/>
  <c r="F63" i="4"/>
  <c r="F139" i="5"/>
  <c r="F72" i="4" s="1"/>
  <c r="F46" i="4" l="1"/>
  <c r="D43" i="4"/>
  <c r="D22" i="4"/>
  <c r="F123" i="6"/>
  <c r="F38" i="5"/>
  <c r="E318" i="5"/>
  <c r="G531" i="6"/>
  <c r="E71" i="5"/>
  <c r="G141" i="6"/>
  <c r="E250" i="5"/>
  <c r="G433" i="6"/>
  <c r="F18" i="5"/>
  <c r="F41" i="4"/>
  <c r="F14" i="4"/>
  <c r="D139" i="5"/>
  <c r="F140" i="5"/>
  <c r="C122" i="6"/>
  <c r="E122" i="6" s="1"/>
  <c r="E17" i="1"/>
  <c r="D17" i="1"/>
  <c r="E63" i="4"/>
  <c r="D63" i="4"/>
  <c r="E17" i="4"/>
  <c r="E67" i="4"/>
  <c r="D67" i="4"/>
  <c r="E45" i="4"/>
  <c r="D45" i="4"/>
  <c r="E39" i="4"/>
  <c r="D39" i="4"/>
  <c r="D44" i="4"/>
  <c r="E33" i="4"/>
  <c r="D33" i="4"/>
  <c r="E18" i="4"/>
  <c r="E65" i="4"/>
  <c r="D65" i="4"/>
  <c r="E34" i="4"/>
  <c r="D34" i="4"/>
  <c r="E10" i="4"/>
  <c r="E15" i="4"/>
  <c r="D58" i="4"/>
  <c r="E191" i="5"/>
  <c r="D191" i="5"/>
  <c r="E28" i="5"/>
  <c r="E208" i="5"/>
  <c r="D208" i="5"/>
  <c r="D222" i="5" s="1"/>
  <c r="D190" i="5"/>
  <c r="E190" i="5"/>
  <c r="D166" i="5"/>
  <c r="D167" i="5" s="1"/>
  <c r="E166" i="5"/>
  <c r="D134" i="5"/>
  <c r="E134" i="5"/>
  <c r="E22" i="4"/>
  <c r="E24" i="5"/>
  <c r="D138" i="5"/>
  <c r="D102" i="5"/>
  <c r="D104" i="5" s="1"/>
  <c r="J17" i="1"/>
  <c r="K17" i="1"/>
  <c r="D179" i="5"/>
  <c r="E179" i="5"/>
  <c r="E183" i="5"/>
  <c r="D183" i="5"/>
  <c r="D24" i="5"/>
  <c r="D35" i="4" s="1"/>
  <c r="D71" i="5"/>
  <c r="D51" i="5"/>
  <c r="D28" i="5"/>
  <c r="D35" i="2"/>
  <c r="F222" i="5"/>
  <c r="F14" i="5"/>
  <c r="F58" i="4"/>
  <c r="E58" i="4" s="1"/>
  <c r="D120" i="5"/>
  <c r="K14" i="7"/>
  <c r="E299" i="6"/>
  <c r="D25" i="2"/>
  <c r="E455" i="6"/>
  <c r="F167" i="5"/>
  <c r="G279" i="6" s="1"/>
  <c r="F12" i="1"/>
  <c r="D17" i="2"/>
  <c r="F13" i="1"/>
  <c r="F59" i="4"/>
  <c r="D59" i="4" s="1"/>
  <c r="L19" i="1"/>
  <c r="J19" i="1" s="1"/>
  <c r="L21" i="1"/>
  <c r="F120" i="5"/>
  <c r="F291" i="5"/>
  <c r="D291" i="5"/>
  <c r="L14" i="1"/>
  <c r="F171" i="5"/>
  <c r="G17" i="7" s="1"/>
  <c r="F254" i="5"/>
  <c r="F53" i="5"/>
  <c r="D53" i="5" s="1"/>
  <c r="F52" i="5"/>
  <c r="F10" i="5"/>
  <c r="F8" i="4" l="1"/>
  <c r="G21" i="7"/>
  <c r="E140" i="5"/>
  <c r="G238" i="6"/>
  <c r="E222" i="5"/>
  <c r="G392" i="6"/>
  <c r="E104" i="5"/>
  <c r="G176" i="6"/>
  <c r="E120" i="5"/>
  <c r="G212" i="6"/>
  <c r="D14" i="4"/>
  <c r="E72" i="4"/>
  <c r="D72" i="4"/>
  <c r="E13" i="1"/>
  <c r="D13" i="1"/>
  <c r="E12" i="1"/>
  <c r="D12" i="1"/>
  <c r="E26" i="4"/>
  <c r="D26" i="4"/>
  <c r="E69" i="4"/>
  <c r="D69" i="4"/>
  <c r="E41" i="4"/>
  <c r="D41" i="4"/>
  <c r="D68" i="4"/>
  <c r="E40" i="4"/>
  <c r="D40" i="4"/>
  <c r="D70" i="4"/>
  <c r="F73" i="4"/>
  <c r="E73" i="4" s="1"/>
  <c r="K16" i="7"/>
  <c r="E167" i="5"/>
  <c r="J14" i="1"/>
  <c r="K14" i="1"/>
  <c r="J21" i="1"/>
  <c r="K21" i="1"/>
  <c r="D14" i="5"/>
  <c r="E14" i="5"/>
  <c r="F195" i="5"/>
  <c r="D171" i="5"/>
  <c r="D195" i="5" s="1"/>
  <c r="E171" i="5"/>
  <c r="D10" i="5"/>
  <c r="E254" i="5"/>
  <c r="D254" i="5"/>
  <c r="F17" i="5"/>
  <c r="D52" i="5"/>
  <c r="D54" i="5" s="1"/>
  <c r="F54" i="5"/>
  <c r="F16" i="4"/>
  <c r="D16" i="4" s="1"/>
  <c r="F259" i="5"/>
  <c r="F271" i="5" s="1"/>
  <c r="D140" i="5"/>
  <c r="K23" i="7"/>
  <c r="D64" i="4"/>
  <c r="F64" i="4"/>
  <c r="E64" i="4" s="1"/>
  <c r="L12" i="1"/>
  <c r="J12" i="1" s="1"/>
  <c r="F148" i="5"/>
  <c r="F20" i="4" l="1"/>
  <c r="F21" i="4" s="1"/>
  <c r="E148" i="5"/>
  <c r="G246" i="6"/>
  <c r="E195" i="5"/>
  <c r="G345" i="6"/>
  <c r="G479" i="6"/>
  <c r="K8" i="7"/>
  <c r="K26" i="7" s="1"/>
  <c r="E17" i="5"/>
  <c r="G8" i="7"/>
  <c r="G26" i="7" s="1"/>
  <c r="E16" i="4"/>
  <c r="E8" i="4"/>
  <c r="D8" i="4"/>
  <c r="E34" i="5"/>
  <c r="E18" i="5"/>
  <c r="E259" i="5"/>
  <c r="D259" i="5"/>
  <c r="D271" i="5" s="1"/>
  <c r="D17" i="5"/>
  <c r="K12" i="1"/>
  <c r="D18" i="5"/>
  <c r="F19" i="5"/>
  <c r="I8" i="7" s="1"/>
  <c r="D34" i="5"/>
  <c r="F19" i="4"/>
  <c r="I21" i="7"/>
  <c r="F50" i="4"/>
  <c r="E50" i="4" s="1"/>
  <c r="L13" i="1"/>
  <c r="D20" i="4" l="1"/>
  <c r="D21" i="4" s="1"/>
  <c r="D46" i="4"/>
  <c r="D50" i="4" s="1"/>
  <c r="E38" i="5"/>
  <c r="I26" i="7"/>
  <c r="E271" i="5"/>
  <c r="D19" i="4"/>
  <c r="J13" i="1"/>
  <c r="K13" i="1"/>
  <c r="D38" i="5"/>
  <c r="E19" i="4"/>
  <c r="L9" i="1"/>
  <c r="K9" i="1" s="1"/>
  <c r="F56" i="5"/>
  <c r="F322" i="5" s="1"/>
  <c r="E19" i="5"/>
  <c r="D19" i="5"/>
  <c r="E21" i="4"/>
  <c r="E20" i="4"/>
  <c r="E46" i="4"/>
  <c r="D73" i="4"/>
  <c r="L16" i="1"/>
  <c r="J16" i="1" s="1"/>
  <c r="E98" i="5"/>
  <c r="D80" i="4" l="1"/>
  <c r="F80" i="4"/>
  <c r="E80" i="4" s="1"/>
  <c r="G123" i="6"/>
  <c r="E56" i="5"/>
  <c r="D56" i="5"/>
  <c r="D322" i="5" s="1"/>
  <c r="L10" i="1"/>
  <c r="K10" i="1" s="1"/>
  <c r="L11" i="1"/>
  <c r="D83" i="4" l="1"/>
  <c r="J10" i="1"/>
  <c r="K11" i="1"/>
  <c r="J11" i="1"/>
  <c r="E322" i="5" l="1"/>
  <c r="F83" i="4" l="1"/>
  <c r="L15" i="1"/>
  <c r="J9" i="1"/>
  <c r="L22" i="1" l="1"/>
  <c r="K22" i="1" s="1"/>
  <c r="K15" i="1"/>
  <c r="J15" i="1"/>
  <c r="J22" i="1" s="1"/>
  <c r="D75" i="3"/>
  <c r="E75" i="3"/>
  <c r="E11" i="2" s="1"/>
  <c r="E88" i="3"/>
  <c r="F11" i="2"/>
  <c r="D11" i="2" s="1"/>
  <c r="D14" i="2" s="1"/>
  <c r="D49" i="2" l="1"/>
  <c r="F14" i="2"/>
  <c r="E175" i="3" l="1"/>
  <c r="E14" i="2"/>
  <c r="F9" i="1"/>
  <c r="F45" i="2"/>
  <c r="E45" i="2" l="1"/>
  <c r="F49" i="2"/>
  <c r="F15" i="1"/>
  <c r="D9" i="1"/>
  <c r="D15" i="1" s="1"/>
  <c r="D22" i="1" s="1"/>
  <c r="E9" i="1"/>
  <c r="F22" i="1" l="1"/>
  <c r="E15" i="1"/>
  <c r="E22" i="1" l="1"/>
  <c r="F27" i="1"/>
  <c r="F535" i="6"/>
  <c r="G271" i="6"/>
  <c r="F537" i="6" l="1"/>
  <c r="F324" i="5"/>
  <c r="F178" i="3"/>
</calcChain>
</file>

<file path=xl/sharedStrings.xml><?xml version="1.0" encoding="utf-8"?>
<sst xmlns="http://schemas.openxmlformats.org/spreadsheetml/2006/main" count="2118" uniqueCount="756">
  <si>
    <t>Önkormányzati bevételek és kiadások összesen</t>
  </si>
  <si>
    <t>adatok: ezer Ft-ban</t>
  </si>
  <si>
    <t>Bevételek</t>
  </si>
  <si>
    <t>Kiadások</t>
  </si>
  <si>
    <t>Nyt.szla</t>
  </si>
  <si>
    <t>Megnevezés</t>
  </si>
  <si>
    <t>0911</t>
  </si>
  <si>
    <t>Önkormányzatok működési támogatása</t>
  </si>
  <si>
    <t>051</t>
  </si>
  <si>
    <t>Személyi juttatások</t>
  </si>
  <si>
    <t>0916</t>
  </si>
  <si>
    <t>Egyéb műk-i célú tám. ÁH-on belülről</t>
  </si>
  <si>
    <t>052</t>
  </si>
  <si>
    <t>Munkaadót terhelő járulékok</t>
  </si>
  <si>
    <t>092</t>
  </si>
  <si>
    <t>Felhalmozási c. tám. ÁH-on belülről</t>
  </si>
  <si>
    <t>053</t>
  </si>
  <si>
    <t>Dologi kiadások</t>
  </si>
  <si>
    <t>093</t>
  </si>
  <si>
    <t>Közhatalmi bevételek</t>
  </si>
  <si>
    <t>054</t>
  </si>
  <si>
    <t>Szociális juttatások</t>
  </si>
  <si>
    <t>094</t>
  </si>
  <si>
    <t>Működési bevételek</t>
  </si>
  <si>
    <t>055</t>
  </si>
  <si>
    <t>Átadott pénzeszközök</t>
  </si>
  <si>
    <t>0952</t>
  </si>
  <si>
    <t>Felhalmozási bevételek</t>
  </si>
  <si>
    <t>059</t>
  </si>
  <si>
    <t>Irányítószervi támogatás</t>
  </si>
  <si>
    <t>Tárgyévi működési kiadások</t>
  </si>
  <si>
    <t>09813</t>
  </si>
  <si>
    <t>Önkorm. Pénzmaradványa igénybevét.</t>
  </si>
  <si>
    <t>056-057</t>
  </si>
  <si>
    <t>Fejlesztés, felújítás</t>
  </si>
  <si>
    <t>055131</t>
  </si>
  <si>
    <t>Céltartalék (elköt.pm.terhére)</t>
  </si>
  <si>
    <t>Általános tartalék</t>
  </si>
  <si>
    <t>Likvidtartalék</t>
  </si>
  <si>
    <t>058</t>
  </si>
  <si>
    <t>EU-s pályázati visszafizetés</t>
  </si>
  <si>
    <t>059141</t>
  </si>
  <si>
    <t>ÁHT-n belüli megelőlegezés visszafiz.</t>
  </si>
  <si>
    <t>Mindösszesen</t>
  </si>
  <si>
    <t>I/2.számú melléklet</t>
  </si>
  <si>
    <t>adatok: Ft-ban</t>
  </si>
  <si>
    <t>Főkönyvi szám</t>
  </si>
  <si>
    <t>Főkönyvi szám neve</t>
  </si>
  <si>
    <t>Eredeti előirányzat</t>
  </si>
  <si>
    <t>091111</t>
  </si>
  <si>
    <t>Helyi önkormányzatok működésének általános támogatása</t>
  </si>
  <si>
    <t>091121</t>
  </si>
  <si>
    <t>Települési önkormányzatok egyes köznevelési feladatainak támogatása</t>
  </si>
  <si>
    <t>091131</t>
  </si>
  <si>
    <t>Települési önkormányzatok szociális, gyermekjóléti és gyermekétkeztetési feladatainak támogatása</t>
  </si>
  <si>
    <t>091141</t>
  </si>
  <si>
    <t>Települési önkormányzatok kulturális feladatainak támogatása</t>
  </si>
  <si>
    <t>091151</t>
  </si>
  <si>
    <t>Működési célú költségvetési támogatások és kiegészítő támogatások</t>
  </si>
  <si>
    <t>0911   Önkormányzatok működési támogatása</t>
  </si>
  <si>
    <t>0916071</t>
  </si>
  <si>
    <t>Egyéb működési célú támogatások bevételei államháztartáson belülről-helyi önkormányzatok és költségvetési szerveik</t>
  </si>
  <si>
    <t>09161</t>
  </si>
  <si>
    <t>Egyéb működési célú támogatások bevételei államháztartáson belülről</t>
  </si>
  <si>
    <t>0916   Egyéb működési célú támogatások bevételei ÁH-on belülről</t>
  </si>
  <si>
    <t>09213</t>
  </si>
  <si>
    <t>093432</t>
  </si>
  <si>
    <t>Magánszemélyek kommunális adója</t>
  </si>
  <si>
    <t>09351071</t>
  </si>
  <si>
    <t>Állandó jelleggel végzett iparűzési tevékenység után fizetett helyi adó</t>
  </si>
  <si>
    <t>0935411</t>
  </si>
  <si>
    <t>Belföldi gépjárművek adójának  a helyi önkormányzatot megillető része</t>
  </si>
  <si>
    <t>0936112</t>
  </si>
  <si>
    <t>Szabálysértési pénz- és helyszíni bírság és a közlekedési szabályszegések után kiszabott közigazgatási bírság helyi önkormányzatot megillető része</t>
  </si>
  <si>
    <t>0936121</t>
  </si>
  <si>
    <t>Egyéb bírság</t>
  </si>
  <si>
    <t>0936162</t>
  </si>
  <si>
    <t>Egyéb közhatalmi bevétel</t>
  </si>
  <si>
    <t>0936172</t>
  </si>
  <si>
    <t>Késedelmi és önellenőrzési pótlék</t>
  </si>
  <si>
    <t>Egyéb közhatalmi bevételek</t>
  </si>
  <si>
    <t>093   Közhatalmi bevételek</t>
  </si>
  <si>
    <t>094022</t>
  </si>
  <si>
    <t>Szolgáltatások ellenértéke</t>
  </si>
  <si>
    <t>094041</t>
  </si>
  <si>
    <t>Tulajdonosi bevételek</t>
  </si>
  <si>
    <t>094051</t>
  </si>
  <si>
    <t>Ellátási díjak</t>
  </si>
  <si>
    <t>094061</t>
  </si>
  <si>
    <t>Kiszámlázott általános forgalmi adó</t>
  </si>
  <si>
    <t>094071</t>
  </si>
  <si>
    <t>Általános forgalmi adó visszatérítése</t>
  </si>
  <si>
    <t>094082</t>
  </si>
  <si>
    <t>Kamatbevételek</t>
  </si>
  <si>
    <t>094111</t>
  </si>
  <si>
    <t>Egyéb működési bevételek</t>
  </si>
  <si>
    <t>0941142</t>
  </si>
  <si>
    <t>1 és 2 forintos érmék forgalomból történő kivonása miatti kerekítési különbözet</t>
  </si>
  <si>
    <t>094   Működési bevételek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</si>
  <si>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</si>
  <si>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</si>
  <si>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</si>
  <si>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</si>
  <si>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0965091</t>
  </si>
  <si>
    <t>Egyéb működési célú átvett pénzeszközök-Európai Unió</t>
  </si>
  <si>
    <t>Egyéb felhalmozási célú átvett pénzeszközök-háztartások</t>
  </si>
  <si>
    <t>0925031</t>
  </si>
  <si>
    <t>Egyéb felhalmozási célú támogatások bevételei államháztartáson belülről-fejezeti kezelésű előirányzatok EU-s programok és azok hazai társfinanszírozása</t>
  </si>
  <si>
    <t>0952 Felhalmozási bevételek</t>
  </si>
  <si>
    <t>0981311</t>
  </si>
  <si>
    <t>Előző év költségvetési maradványának igénybevétele</t>
  </si>
  <si>
    <t>Bevételek összesen</t>
  </si>
  <si>
    <t>I/2.a) számú melléklet</t>
  </si>
  <si>
    <t>Bevételek kormányati funkciók (COFOG) szerinti bontásban</t>
  </si>
  <si>
    <t>011130 - Önkormányzatok és önkormányzati hivatalok jogalkotó és általános igazgatási tevékenysége</t>
  </si>
  <si>
    <t>09361</t>
  </si>
  <si>
    <t>Egyéb bírság bevételei (Vízmű)</t>
  </si>
  <si>
    <t>09363</t>
  </si>
  <si>
    <t>094062</t>
  </si>
  <si>
    <t>Bevétel összesen:</t>
  </si>
  <si>
    <t>013320 - Köztemető-fenntartás és -működtetés</t>
  </si>
  <si>
    <t>018010 - Önkormányzatok elszámolásai a központi költségvetéssel</t>
  </si>
  <si>
    <t>ebből: zöldterület-gazdálkodással kapcsolatos feladatok ellátásának támogatása</t>
  </si>
  <si>
    <t>ebből: közvilágítás fenntartásának támogatása</t>
  </si>
  <si>
    <t>ebből: köztemető fenntartással kapcs. feladatok támog.</t>
  </si>
  <si>
    <t>ebből: közutak fenntartásának támogatása</t>
  </si>
  <si>
    <t>ebből: polgármesteri illetmény támogatása</t>
  </si>
  <si>
    <t>Települési önkormányzatok egyes köznevelési feladatainak támogatása (óvoda fenntartás)</t>
  </si>
  <si>
    <t>ebből: szociális feladatok egyéb támogatása</t>
  </si>
  <si>
    <t>ebből: finanszírozás szempontjából elismert dolgozók bértámogatása</t>
  </si>
  <si>
    <t>ebből: gyermekétkeztetés üzemeltetési támogatása</t>
  </si>
  <si>
    <t>ebből: rászoruló gyermekek szünidei étekztetésének tám.</t>
  </si>
  <si>
    <t>018030 - Támogatási célú finanszírozási műveletek</t>
  </si>
  <si>
    <t>052020 - Szennyvíz gyűjtése, tisztítása, elhelyezése</t>
  </si>
  <si>
    <t>074031 - Család és nővédelmi egészségügyi gondozás</t>
  </si>
  <si>
    <t>Egyéb működési célú támogatások bevételei államháztartáson belülről (OEP védőnő)</t>
  </si>
  <si>
    <t>096015 - Gyermekétkeztetés köznevelési intézményben</t>
  </si>
  <si>
    <t>900020 - Önkormányzatok funkcióira nem sorolható bevételei államháztartáson kívülről</t>
  </si>
  <si>
    <t>104051 - Gyermekvédelmi pénzbeli és természetbeni ellátások</t>
  </si>
  <si>
    <t>Összes COFOG szerinti bevétel:</t>
  </si>
  <si>
    <t>I/3. számú melléklet</t>
  </si>
  <si>
    <t>05110111</t>
  </si>
  <si>
    <t>Köztisztviselők,közalkalmazottak bére</t>
  </si>
  <si>
    <t>05110131</t>
  </si>
  <si>
    <t>MT alapján teljes, részmunkaidős bére</t>
  </si>
  <si>
    <t>0511091</t>
  </si>
  <si>
    <t>Közlekedési költségtérítés</t>
  </si>
  <si>
    <t>0511101</t>
  </si>
  <si>
    <t>Egyéb költségtérítések</t>
  </si>
  <si>
    <t>0511131</t>
  </si>
  <si>
    <t>Foglalkoztatottak egyéb személyi juttatásai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</si>
  <si>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</si>
  <si>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</si>
  <si>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</si>
  <si>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</si>
  <si>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0512361</t>
  </si>
  <si>
    <t>Reprezentáció, üzleti ajándék</t>
  </si>
  <si>
    <t>05211</t>
  </si>
  <si>
    <t>Szociális hozzájárulási adó</t>
  </si>
  <si>
    <t>05261</t>
  </si>
  <si>
    <t>Más járulék fizetési kötelezettség</t>
  </si>
  <si>
    <t>053111</t>
  </si>
  <si>
    <t>Szakmai anyagok beszerzése</t>
  </si>
  <si>
    <t>0531111</t>
  </si>
  <si>
    <t>Gyógyszer</t>
  </si>
  <si>
    <t>0531121</t>
  </si>
  <si>
    <t>Könyv, folyóirat</t>
  </si>
  <si>
    <t>0531141</t>
  </si>
  <si>
    <t>Informatikai eszközök</t>
  </si>
  <si>
    <t>053121</t>
  </si>
  <si>
    <t>Üzemeltetési anyagok beszerzése</t>
  </si>
  <si>
    <t>0531211</t>
  </si>
  <si>
    <t>Élelmiszer</t>
  </si>
  <si>
    <t>0531221</t>
  </si>
  <si>
    <t>Irodaszer, nyomtatvány</t>
  </si>
  <si>
    <t>0531231</t>
  </si>
  <si>
    <t>Hajtó és kenőanyag</t>
  </si>
  <si>
    <t>0531241</t>
  </si>
  <si>
    <t>Munka és védőruha</t>
  </si>
  <si>
    <t>0531251</t>
  </si>
  <si>
    <t>Nyomtatást segítő anyagok</t>
  </si>
  <si>
    <t>0531261</t>
  </si>
  <si>
    <t>Amelyek nem számolhatóak el szakmai anyagnak</t>
  </si>
  <si>
    <t>0532111</t>
  </si>
  <si>
    <t>0532211</t>
  </si>
  <si>
    <t>Telefon, telefax, telex, mobíl díj</t>
  </si>
  <si>
    <t>053311</t>
  </si>
  <si>
    <t>Közüzemidíjak</t>
  </si>
  <si>
    <t>0533111</t>
  </si>
  <si>
    <t>ebből: villamos energia</t>
  </si>
  <si>
    <t>0533121</t>
  </si>
  <si>
    <t>ebből: gázdíj</t>
  </si>
  <si>
    <t>0533131</t>
  </si>
  <si>
    <t>ebből: víz- és csatornadíj</t>
  </si>
  <si>
    <t>053321</t>
  </si>
  <si>
    <t>Vásárolt élelmezés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</si>
  <si>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</si>
  <si>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</si>
  <si>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</si>
  <si>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</si>
  <si>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</si>
  <si>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</si>
  <si>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0533621</t>
  </si>
  <si>
    <t>Más szakmai tevékenység</t>
  </si>
  <si>
    <t>053371</t>
  </si>
  <si>
    <t>Egyéb szolgáltatások</t>
  </si>
  <si>
    <t>Postaköltség</t>
  </si>
  <si>
    <t>Biztosítási díjak</t>
  </si>
  <si>
    <t>0533791</t>
  </si>
  <si>
    <t>Más egyéb szolgáltatások</t>
  </si>
  <si>
    <t>0534111</t>
  </si>
  <si>
    <t>Foglalkoztatottak kiküldetései</t>
  </si>
  <si>
    <t>053511</t>
  </si>
  <si>
    <t>Műk-i célú előzetesen felszámított áfa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</si>
  <si>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</si>
  <si>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</si>
  <si>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</si>
  <si>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</si>
  <si>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</si>
  <si>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</si>
  <si>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05421</t>
  </si>
  <si>
    <t>Egyéb pénzbeni és természetbeni gyermekvédelmi ell.</t>
  </si>
  <si>
    <t>05471</t>
  </si>
  <si>
    <t>Intézményi ellátottak pénzbeli juttatásai</t>
  </si>
  <si>
    <t>0548</t>
  </si>
  <si>
    <t>054831</t>
  </si>
  <si>
    <t>Egyéb, Önkormányzat rendeletében megállapított juttatás</t>
  </si>
  <si>
    <t>054851</t>
  </si>
  <si>
    <t>054861</t>
  </si>
  <si>
    <t>Temetési segély [Szoctv. 46. §]</t>
  </si>
  <si>
    <t>055061</t>
  </si>
  <si>
    <t>0550211</t>
  </si>
  <si>
    <t>A helyi önkormányzatok előző évi elszámolásából származó kiadások</t>
  </si>
  <si>
    <t>05506071</t>
  </si>
  <si>
    <t>Egyéb működési célú támogatások államháztartáson belülre-helyi önkormányzatok és költségvetési szerveik</t>
  </si>
  <si>
    <t>Egyéb működési célú támogatások ÁH-on belülre</t>
  </si>
  <si>
    <t>055081</t>
  </si>
  <si>
    <t>Működési célú visszatérítendő támogatások, kölcsönök nyújtása államháztartáson kívülre</t>
  </si>
  <si>
    <t>055121</t>
  </si>
  <si>
    <t>Egyéb működési célú támogatások ÁH-on kívülre</t>
  </si>
  <si>
    <t>05612</t>
  </si>
  <si>
    <t>Immateriális javak beszerzése, létesítése</t>
  </si>
  <si>
    <t>05621</t>
  </si>
  <si>
    <t>Ingatlanok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</si>
  <si>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</si>
  <si>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</si>
  <si>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</si>
  <si>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</si>
  <si>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</si>
  <si>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Beruházási célú előzetesen felszámított áfa</t>
  </si>
  <si>
    <t>05711</t>
  </si>
  <si>
    <t>Ingatlanok felújítása</t>
  </si>
  <si>
    <t>05731</t>
  </si>
  <si>
    <t>Egyéb tárgyi eszközök felújítása</t>
  </si>
  <si>
    <t>05741</t>
  </si>
  <si>
    <t>Felújítási célú előzetesen felszámított áfa</t>
  </si>
  <si>
    <t>Fejlesztések</t>
  </si>
  <si>
    <t>05841</t>
  </si>
  <si>
    <t>Államháztartáson belüli megelőlegezések visszafizetése</t>
  </si>
  <si>
    <t>059151</t>
  </si>
  <si>
    <t>Központi, irányító szervi támogatás folyósítása</t>
  </si>
  <si>
    <t>Tartalékok (általános)</t>
  </si>
  <si>
    <t>Tartalékok (elköt.pénzm..terh.)</t>
  </si>
  <si>
    <t>Kiadások összesen</t>
  </si>
  <si>
    <t>I/3.a) számú melléklet</t>
  </si>
  <si>
    <t>Kiadások kormányati funkciók (COFOG) szerinti bontásban</t>
  </si>
  <si>
    <t>Törvény szerinti illetmények</t>
  </si>
  <si>
    <t>Villamos energia</t>
  </si>
  <si>
    <t>Gázdíj</t>
  </si>
  <si>
    <t>05341</t>
  </si>
  <si>
    <t>Működési célú előzetesen felszámított általános forgalmi adó</t>
  </si>
  <si>
    <t>Egyéb működési célú támogatások államháztartáson belülre</t>
  </si>
  <si>
    <t>Működési célú vissza nem térítendő támogatások, kölcsönök nyújtása államháztartáson kívülre</t>
  </si>
  <si>
    <t>Tartalékok</t>
  </si>
  <si>
    <t>Tartalékok (elköt. pénzmaradv. terhére)</t>
  </si>
  <si>
    <t>Beruházási célú előzetesen felszámított általános forgalmi adó</t>
  </si>
  <si>
    <t>Felújítási célú előzetesen felszámított általános forgalmi adó</t>
  </si>
  <si>
    <t xml:space="preserve">Fejezeti kezelésű EI-nak EU-s programokra nyújtott felhalmozási célú támogatás </t>
  </si>
  <si>
    <t>Kiadás összesen:</t>
  </si>
  <si>
    <t>Víz- és csatornadíj</t>
  </si>
  <si>
    <t>Beruházás</t>
  </si>
  <si>
    <t>013350 - Az önkormányzati vagyonnal való gazdálkodással kapcsolatos feladatok</t>
  </si>
  <si>
    <t>016080 - Kiemelt állami és önkormányzati rendezvények</t>
  </si>
  <si>
    <t>Helyi önkormányzatok előző évi elszámolásából származó kiadások</t>
  </si>
  <si>
    <t>045160 - Közutak, hidak, alagutak üzemeltetése, fenntartása</t>
  </si>
  <si>
    <t>064010 - Közvilágítás</t>
  </si>
  <si>
    <t>066020 - Város-, községgazdálkodási egyéb szolgáltatások</t>
  </si>
  <si>
    <t>Közüzemi díjak</t>
  </si>
  <si>
    <t>0511021</t>
  </si>
  <si>
    <t>Normatív jutalmak</t>
  </si>
  <si>
    <t>051113</t>
  </si>
  <si>
    <t>053411</t>
  </si>
  <si>
    <t>Kiküldetések kiadásai</t>
  </si>
  <si>
    <t>053552</t>
  </si>
  <si>
    <t>084031 - Civil szervezetek működési támogatása</t>
  </si>
  <si>
    <t>Egyéb működési célú támogatások államháztartáson kívülre</t>
  </si>
  <si>
    <t>05713</t>
  </si>
  <si>
    <t>05743</t>
  </si>
  <si>
    <t>104037 - Intézményen kívüli gyermekétkeztetés</t>
  </si>
  <si>
    <t>Egyéb pénzbeni és természetbeni gyermekvédelmi támogatások kiadásai</t>
  </si>
  <si>
    <t>Egyéb, az Önkormányzat rendeletében megállapított juttatás</t>
  </si>
  <si>
    <t>107060 - Egyéb szociális pénzbeli és természetbeni ellátások, támogatások</t>
  </si>
  <si>
    <t>Egyéb üzemeltetési anyagok - szoc.tüzifa</t>
  </si>
  <si>
    <t>Egyéb szolgáltatások - szoc. tüzifa szállítási díj</t>
  </si>
  <si>
    <t>Működési célú, előzetesen felszámított áfa</t>
  </si>
  <si>
    <t>Egyéb, nem intézményi ellátások [Szoctv. 45. § alapján]</t>
  </si>
  <si>
    <t>Kiadások mindösszesen</t>
  </si>
  <si>
    <t>Törvény szerinti illetmények összesen:</t>
  </si>
  <si>
    <t>hó</t>
  </si>
  <si>
    <t>év</t>
  </si>
  <si>
    <t>Bankköltség térítése - polgármester</t>
  </si>
  <si>
    <t>Választott tisztségviselők juttatásai összesen</t>
  </si>
  <si>
    <t>Egyéb jogviszonyban nem saját foglalkoztatottnak fizetett juttatások összesen</t>
  </si>
  <si>
    <t>05231</t>
  </si>
  <si>
    <t xml:space="preserve">Szociális hozzájárulási adó </t>
  </si>
  <si>
    <t>Szociális hozzájárulási adó összesen</t>
  </si>
  <si>
    <t>Szakmai anyagok beszerzése (könyv)</t>
  </si>
  <si>
    <t>Tisztítószer</t>
  </si>
  <si>
    <t>Munkaruha és védőruha</t>
  </si>
  <si>
    <t>Üzemeltetési anyagok összesen</t>
  </si>
  <si>
    <t>Informatikai szolgáltatások igénybevétele</t>
  </si>
  <si>
    <t>Bérleti és lízing díjak összesen</t>
  </si>
  <si>
    <t>Jogi szolgáltatás</t>
  </si>
  <si>
    <t>Egyéb szakmai tevékenységet segítő szolg.</t>
  </si>
  <si>
    <t>Szakmai tevékenységet segítő szolgáltatások összesen</t>
  </si>
  <si>
    <t>AM</t>
  </si>
  <si>
    <t>Egyéb szolgáltatások összesen:</t>
  </si>
  <si>
    <t>Működési célú előzetesen felszámított általános forgalmi adó összesen</t>
  </si>
  <si>
    <t xml:space="preserve"> </t>
  </si>
  <si>
    <t>0535502</t>
  </si>
  <si>
    <t>Egyéb dologi kiadások összesen</t>
  </si>
  <si>
    <t>Egyéb működési célú támogatások államháztartáson belülre összesen</t>
  </si>
  <si>
    <t xml:space="preserve">Összes önkormányzati tartalék </t>
  </si>
  <si>
    <t>Felújítási kiadások összesen</t>
  </si>
  <si>
    <t>Karbantartási, kisjavítási szolg. összesen</t>
  </si>
  <si>
    <t>018030 Támogatási célú finanszírozási műveletek</t>
  </si>
  <si>
    <t>Óvodának átadott köznevelési normatíva</t>
  </si>
  <si>
    <t>Óvodának átadott irányító szervi támogatás</t>
  </si>
  <si>
    <t>Más járulék fizetési kötelezettség TP hj.</t>
  </si>
  <si>
    <t>Karbantartás, kisjavítás összesen</t>
  </si>
  <si>
    <t>Ingatlanok felújítása összesen</t>
  </si>
  <si>
    <t>MT alapján teljes, részmunkaidős bér összesen</t>
  </si>
  <si>
    <t>Egyéb költségtérítések -bankköltség</t>
  </si>
  <si>
    <t>Egyéb készlet, üzemeltetési anyag</t>
  </si>
  <si>
    <t>Egyéb karbantartási, kisjavítási szolgáltatások</t>
  </si>
  <si>
    <t>Egyéb tárgyi eszközök beszerzése, létesítése összesen</t>
  </si>
  <si>
    <t>Köztisztviselők, közalkalmazottak bére</t>
  </si>
  <si>
    <t>0521</t>
  </si>
  <si>
    <t>Rovarírtás</t>
  </si>
  <si>
    <t>Köztisztviselők, közalkalmazottak bére összesen</t>
  </si>
  <si>
    <t xml:space="preserve">Egyéb tárgyi eszköz beszerzés </t>
  </si>
  <si>
    <t xml:space="preserve">Ingatlanok felújítása </t>
  </si>
  <si>
    <t>Dorog és Térsége Szociális Alapellátó Szolgálatnak fizetett hozzájárulás</t>
  </si>
  <si>
    <t>Egyéb pénzbeli és természetbeni gyermekvédelmi támogatások kiadásai</t>
  </si>
  <si>
    <t>kiegészítő gyermekvédelmi támogatás</t>
  </si>
  <si>
    <t>Vásárolt élelmezés előirányzata</t>
  </si>
  <si>
    <t>Családsegítő és Gyermekjóléti Szolg.-nak fizetett éves hozzájárulás</t>
  </si>
  <si>
    <t>053771</t>
  </si>
  <si>
    <t>0548317</t>
  </si>
  <si>
    <t>Egyéb nem intézményi ellátás (Szoctv. 45.§)</t>
  </si>
  <si>
    <t>0548315</t>
  </si>
  <si>
    <t>Egyéb, az Önkorm. Rendeletében megállapított juttatás (rendelet alapján)</t>
  </si>
  <si>
    <t>rendelet alapján</t>
  </si>
  <si>
    <t>ebből: Beiskolázási támogatás</t>
  </si>
  <si>
    <t>Kiadások kormányati funkciók (COFOG) szerinti bontásban (összesítő)</t>
  </si>
  <si>
    <t>Kormányzati funkció (COFOG)</t>
  </si>
  <si>
    <t>Bér</t>
  </si>
  <si>
    <t>Járulék</t>
  </si>
  <si>
    <t>Dologi kiadás</t>
  </si>
  <si>
    <t>107060 - Egyéb szociális pénzbeni és természetbeni ellátások</t>
  </si>
  <si>
    <t>Önkormányzat összesen:</t>
  </si>
  <si>
    <t xml:space="preserve">Közutak fenntartásának támogatása: </t>
  </si>
  <si>
    <t>Ft</t>
  </si>
  <si>
    <t>Közvilágítás fenntartásának támogatása:</t>
  </si>
  <si>
    <t>Köztemető fenntartásának támogatása:</t>
  </si>
  <si>
    <t>Üzemeltetési anyagok, tisztítószer iskolának</t>
  </si>
  <si>
    <t>Egyéb szolgáltatások - fűtőanyag szállítási díj</t>
  </si>
  <si>
    <t>Ellenőrzés:</t>
  </si>
  <si>
    <t>Tárgyévi működési bevételek</t>
  </si>
  <si>
    <t>Települési önkormányzatok kulturális feladatainak támogatása (kulturális illetménypótlék)</t>
  </si>
  <si>
    <t>098141</t>
  </si>
  <si>
    <t>Államháztartáson belüli megelőlegezések teljesítése</t>
  </si>
  <si>
    <t>Államháztartáson belüli megelőlegezés</t>
  </si>
  <si>
    <t>%</t>
  </si>
  <si>
    <t>041233 Hosszú távú közfoglalkoztatás</t>
  </si>
  <si>
    <t>I/3.aa) számú melléklet</t>
  </si>
  <si>
    <t>Kiadások visszatérítései</t>
  </si>
  <si>
    <t>097533</t>
  </si>
  <si>
    <t>Egyéb felhalmozási c. átvett pénzeszk.</t>
  </si>
  <si>
    <t>Piliscsév Község Önkormányzata</t>
  </si>
  <si>
    <t>Szakmai anyagok, gyógyszer, könyv beszerzése</t>
  </si>
  <si>
    <t>Informatikai szolgáltatások, internet díj</t>
  </si>
  <si>
    <t>Víz- és csatornadíj  (technikai)</t>
  </si>
  <si>
    <t>0533521</t>
  </si>
  <si>
    <t>Közvetítet szolgáltatások ÁHT-on kívül</t>
  </si>
  <si>
    <t>Belföldi kiküldetések</t>
  </si>
  <si>
    <t>Önkéntes EP - polgármester</t>
  </si>
  <si>
    <t>Egyéb külső személyi juttatások</t>
  </si>
  <si>
    <t>051231</t>
  </si>
  <si>
    <t>0331131</t>
  </si>
  <si>
    <t>Csapuka Katalin újság, pályázat megbízási díj</t>
  </si>
  <si>
    <t>Gépek, autó</t>
  </si>
  <si>
    <t>Faház</t>
  </si>
  <si>
    <t>Belföldi kiküldetések kiadásai</t>
  </si>
  <si>
    <t>Karbantartás, kisjaítási szolgáltatások telj.</t>
  </si>
  <si>
    <t xml:space="preserve">Villamos energia </t>
  </si>
  <si>
    <t xml:space="preserve">Gázdíj  </t>
  </si>
  <si>
    <t xml:space="preserve">Víz- és csatornadíj </t>
  </si>
  <si>
    <t>Egyéb szolgáltatások teljesítése</t>
  </si>
  <si>
    <t xml:space="preserve">Egyéb szolgáltatások </t>
  </si>
  <si>
    <t>Közös Hivatalnak átadott állami támogatás</t>
  </si>
  <si>
    <t>Művelődési Háznak átadott állami támogatás</t>
  </si>
  <si>
    <t>Művelődési Háznak átadott irányító szervi támogatás</t>
  </si>
  <si>
    <t>041233 Hosszabb időtartamú közfoglalkoztatás</t>
  </si>
  <si>
    <t>Törvény szerinti illetmények, munkabérek telj.</t>
  </si>
  <si>
    <t>041236 Országos közfoglalkoztatási program</t>
  </si>
  <si>
    <t>Ingatlanok felújítása teljesítése</t>
  </si>
  <si>
    <t xml:space="preserve">Zöldterület gazdálkodás normatíva: </t>
  </si>
  <si>
    <t>Kamatkiadások teljesítése</t>
  </si>
  <si>
    <t>05831</t>
  </si>
  <si>
    <t>Központi költségvetési szervnek felhalmozási célú visszatérítendő támogatás, kölcsön törlesztés kiadásai</t>
  </si>
  <si>
    <t>0511041</t>
  </si>
  <si>
    <t>Készenléti, ügyeleti, helyettesítési díj, túlóra</t>
  </si>
  <si>
    <t>0511071</t>
  </si>
  <si>
    <t>Béren kívüli juttatások teljesítése</t>
  </si>
  <si>
    <t>053211</t>
  </si>
  <si>
    <t>Egyéb kommunikációs szolgáltatások telj.</t>
  </si>
  <si>
    <t>074032 - Ifjúság-egyészségügyi gondozás</t>
  </si>
  <si>
    <t>074032 - Ifjúság-egészségügyi gondozás</t>
  </si>
  <si>
    <t>Med-Anna</t>
  </si>
  <si>
    <t>082091 - Közművelődés – közösségi és társadalmi részvétel fejlesztése</t>
  </si>
  <si>
    <t>082091 - Közművelődés - közösségi és társadalmi részvétel fejlesztése</t>
  </si>
  <si>
    <t>Szociális hozzájárulási adó kiadásai</t>
  </si>
  <si>
    <t>Egyéb civil, vagy más nonprofit szervezetek egyéb működési célú támogatások kiadásai</t>
  </si>
  <si>
    <t>Diákönkormányzat</t>
  </si>
  <si>
    <t>Vöröskereszt</t>
  </si>
  <si>
    <t>Piliscsév SE</t>
  </si>
  <si>
    <t>Szlovák Baráti Kör</t>
  </si>
  <si>
    <t>Asszonykórus Piliscsév</t>
  </si>
  <si>
    <t>Nyugdíjas Klub</t>
  </si>
  <si>
    <t xml:space="preserve">Pincefalu Egyesület </t>
  </si>
  <si>
    <t>Piliscsévi Polgárőr Egyesület</t>
  </si>
  <si>
    <t>Ister Granum</t>
  </si>
  <si>
    <t>Piliscsévi Szlovák Önkormányzat</t>
  </si>
  <si>
    <t>Katolikus Karitász</t>
  </si>
  <si>
    <t>Trnka Tánccsoport</t>
  </si>
  <si>
    <t>Natúrpark</t>
  </si>
  <si>
    <t>Esztergomi Kórház, eü-i, egyedi kérelmek</t>
  </si>
  <si>
    <t>Duna-Pilis-Gerecse Társulás</t>
  </si>
  <si>
    <t>Dorog és Térsége Turizmus Egyesület tagíj</t>
  </si>
  <si>
    <t>102031 - Idősek nappali ellátása</t>
  </si>
  <si>
    <t>104035 - Gyermekétkeztetés bölcsődében, fogyatékosok nappali intézményében</t>
  </si>
  <si>
    <t>Vásárolt élelmezés teljesítése</t>
  </si>
  <si>
    <t>104042 - Család-, és gyermekjóléti szolgáltatások</t>
  </si>
  <si>
    <t xml:space="preserve">104042 - Család-, és gyermekjóléti szolgáltatások </t>
  </si>
  <si>
    <t>Egyéb üzemeltetési anyagok  - szociális tüzifa I.</t>
  </si>
  <si>
    <t>05481</t>
  </si>
  <si>
    <t>ebből: piliscsévi gyerekek bérlet támogatása</t>
  </si>
  <si>
    <t>ebből: időskorúak támogatása (Karácsonykor)</t>
  </si>
  <si>
    <t>ebből: Babautalvány</t>
  </si>
  <si>
    <t xml:space="preserve">ebből: ösztöndíj támogatás </t>
  </si>
  <si>
    <t>Egyéb települési támogatás (lakásfenntartási tám., átmeneti segély, gyógyszerköltség, kórházi ápolás, temetési segély, tűzifa segély, étkezési térítési díj)</t>
  </si>
  <si>
    <t>Köztemetés (Szoc.tv.48.§)</t>
  </si>
  <si>
    <t>Köztemetés (Szoc.tv. 48.§)</t>
  </si>
  <si>
    <t>094031</t>
  </si>
  <si>
    <t>Közvetített szolgáltatások ellenértéke</t>
  </si>
  <si>
    <t>09741</t>
  </si>
  <si>
    <t>Háztartásoktól felhalmozási célú visszatérítendő támogatások, kölcsönök visszatérülése</t>
  </si>
  <si>
    <t>ebből: önkormányzati hivatal működésének támogatása</t>
  </si>
  <si>
    <t>ebből: a finanszírozás szempontjából elismert szakmai dolgozók bértámotatása - bölcsőde</t>
  </si>
  <si>
    <t>091161</t>
  </si>
  <si>
    <t>Leányvár Cselgáncs Klub</t>
  </si>
  <si>
    <t>Közös Hivatalnak átadott irányító szervi támogatás</t>
  </si>
  <si>
    <t>Tér-Háló rendezési terv</t>
  </si>
  <si>
    <t>Immateriális javak beszerzése, létesítése tartalékból</t>
  </si>
  <si>
    <t>066020 - Város-, és községgazdálkodási egyéb szolgáltatások</t>
  </si>
  <si>
    <t>09251</t>
  </si>
  <si>
    <t>Fejezeti kezelésű EI-tól EU-s programok és azok hazai társfinanszírozása miatt felhalmozási célú támogatások bevételei (Identitás pályázat)</t>
  </si>
  <si>
    <t>104031 - Gyermekek bölcsődében és mini bölcsődében történő ellátása</t>
  </si>
  <si>
    <t>093351</t>
  </si>
  <si>
    <t>Tartózkodás után fizetett idegenforgalmi adó bevételei</t>
  </si>
  <si>
    <t>Egyéb tárgyi eszköz beszerzése, létesítése</t>
  </si>
  <si>
    <t>Béren kívüli juttatások</t>
  </si>
  <si>
    <t>053351</t>
  </si>
  <si>
    <t>Közvetített szolgáltatások Áht-on kívülre</t>
  </si>
  <si>
    <t>Települési támogatás [Szoctv. 45.§]</t>
  </si>
  <si>
    <t>054871</t>
  </si>
  <si>
    <t>09355011</t>
  </si>
  <si>
    <t>Tartózkodás után fizetett idegenforgalmi adó</t>
  </si>
  <si>
    <t>095221</t>
  </si>
  <si>
    <t>Földterületek eladása</t>
  </si>
  <si>
    <t>Felhalm.c. kölcsön visszatérülése</t>
  </si>
  <si>
    <t>0925   Felhalmozási célú önkormányzati támogatások</t>
  </si>
  <si>
    <t>013350 - Az önkormányzati vagyonnal való gazdálkoással kapcsolatos feladatok</t>
  </si>
  <si>
    <t>041233 - Hosszabb időtartamú közfoglalkoztatás</t>
  </si>
  <si>
    <t>041236 - Országos közfoglalkoztatási program</t>
  </si>
  <si>
    <t>104042 - Család- és gyermekjóléti szolgáltatások</t>
  </si>
  <si>
    <t>Központi költségvetési szervnek egyéb működési célú végleges támogatás kiadásai</t>
  </si>
  <si>
    <t>Társulásnak és költségvetési szervének egyéb működési célú végleges támogatás kiad.</t>
  </si>
  <si>
    <t>0550631</t>
  </si>
  <si>
    <t>062020 - Településfejlesztési projektek és támogatásuk</t>
  </si>
  <si>
    <t>Ingatlanok felújítása előirányzata - orvosi</t>
  </si>
  <si>
    <t>áttéve a 018030-as kormányzati funkcióra</t>
  </si>
  <si>
    <t>0511011</t>
  </si>
  <si>
    <t>szociálped.</t>
  </si>
  <si>
    <t>Ingatlanok felújítása előirányzata</t>
  </si>
  <si>
    <t>Központi kezelésű előirányzattól működési célú támogatások bevételei</t>
  </si>
  <si>
    <t>Működési célú végleges támogatás kiadásai</t>
  </si>
  <si>
    <t>Változás</t>
  </si>
  <si>
    <t>Eredeti EI</t>
  </si>
  <si>
    <t>ebből: bölcsődei üzemeltetés támogatása</t>
  </si>
  <si>
    <t>Tartalékok (elköt. pénzmaradv. terhére) útpályázat beérkezett előlege</t>
  </si>
  <si>
    <t>Dorog és Térsége Szociális Alapellátó Szolgálatnak átadott hozzájárulás</t>
  </si>
  <si>
    <t>Dorog és Térsége Szociális Családsegítésre átadott hozzájárulás</t>
  </si>
  <si>
    <t>Bursa ösztöndíjakra átadott támogatás</t>
  </si>
  <si>
    <t xml:space="preserve">Gyermekétkeztetés normatíva: </t>
  </si>
  <si>
    <t>Identitás pályázat befolyt összegéből szabad maradvány: 4443000</t>
  </si>
  <si>
    <t>Tulajdonosi bevételek (faház, tak.szöv.bérleti díja)</t>
  </si>
  <si>
    <t>Kiadások visszatérítései (orvosi épület bérleti díja)</t>
  </si>
  <si>
    <t>Felhalmozási célú önkormányzati támogatások teljesítése (Visszmajor pályázaton elnyert összeg)</t>
  </si>
  <si>
    <t>I/5.sz. melléklet</t>
  </si>
  <si>
    <t>Bankszámlán lévő egyenleg (főszámla):</t>
  </si>
  <si>
    <t>Gépjárműadó számlán maradó egyenleg:</t>
  </si>
  <si>
    <t>Idegen bevétel számlán maradó egyenleg:</t>
  </si>
  <si>
    <t>Összes banki egyenleg:</t>
  </si>
  <si>
    <t>Pénzmaradványt csökkentő tételek</t>
  </si>
  <si>
    <t xml:space="preserve">Összesen: </t>
  </si>
  <si>
    <t>Illeték bevétel számlán maradó egyenleg:</t>
  </si>
  <si>
    <t>MÁK Pályázati számlán maradó egyenleg (út felújítása):</t>
  </si>
  <si>
    <t>MÁK Pályázati számlán maradó egyenleg (identitás):</t>
  </si>
  <si>
    <t>MÁK Pályázati számlán maradó egyenleg (TOP pályázat):</t>
  </si>
  <si>
    <t>Visszmajor pály.</t>
  </si>
  <si>
    <t xml:space="preserve">Képviselők tiszteletdíja </t>
  </si>
  <si>
    <t>Elkülönített állami pénzalaptól működési célú támogatások bevételei (nyári diákmunkások támogatása)</t>
  </si>
  <si>
    <t>0511061</t>
  </si>
  <si>
    <t>Jubileumi jutalom</t>
  </si>
  <si>
    <t>Ingatlan beszerzése, létesítése</t>
  </si>
  <si>
    <t>ingatlan, telek</t>
  </si>
  <si>
    <t>Ingatlan felújítása</t>
  </si>
  <si>
    <t>092131</t>
  </si>
  <si>
    <t>Kolibri Táncegyesület</t>
  </si>
  <si>
    <t>Egyéb támogatások (Pilis Kupa, stb.)</t>
  </si>
  <si>
    <t>ebből: egyéb önkormányzati feladatok támogatása</t>
  </si>
  <si>
    <t>ebből: lakott külterülettel kapcs. Feladatok támogatása</t>
  </si>
  <si>
    <t>0550831</t>
  </si>
  <si>
    <t>Háztartásoknak működési célú visszatérítendő támogatás, kölcsön nyújtás kiadásai</t>
  </si>
  <si>
    <t>Oláh Gábor</t>
  </si>
  <si>
    <t>Kókai Balázs</t>
  </si>
  <si>
    <t>Védőnő normatíva:</t>
  </si>
  <si>
    <t>EP</t>
  </si>
  <si>
    <t>Betegszabadság</t>
  </si>
  <si>
    <t>bankköltség</t>
  </si>
  <si>
    <t>szoc. normatíva:</t>
  </si>
  <si>
    <t>munkaruha</t>
  </si>
  <si>
    <t>Béren kívüli</t>
  </si>
  <si>
    <t>Ludové Noviny</t>
  </si>
  <si>
    <t>egyéb szakmai anyag beszerzése</t>
  </si>
  <si>
    <t>24 óra</t>
  </si>
  <si>
    <t>Egyéb üzemeltetési anyagok</t>
  </si>
  <si>
    <t>Borlai számítógép üzemeltetés</t>
  </si>
  <si>
    <t>Szerver üzemeltetés (Comp-L)</t>
  </si>
  <si>
    <t>AAM</t>
  </si>
  <si>
    <t>Telekom internetdíj</t>
  </si>
  <si>
    <t>telefonszámla</t>
  </si>
  <si>
    <t>Nyomtató bérleti díj (Konika Mivolta)</t>
  </si>
  <si>
    <t>Fiókbérleti díj</t>
  </si>
  <si>
    <t>Egyéb bérleti díjak</t>
  </si>
  <si>
    <t>Példányszám (Konika Mivolta)</t>
  </si>
  <si>
    <t>Egyéb karbantartási szolgáltatások</t>
  </si>
  <si>
    <t>Youtube csatorna kezelése (Borlai)</t>
  </si>
  <si>
    <t>Síkosságmentesítés</t>
  </si>
  <si>
    <t>Síkosságmentesítás rendelkezésre állás</t>
  </si>
  <si>
    <t>15000/óra</t>
  </si>
  <si>
    <t>09355391</t>
  </si>
  <si>
    <t>Talajterhelési díj bevételei</t>
  </si>
  <si>
    <t>esküvők</t>
  </si>
  <si>
    <t>Topor fennmaradó év elején:</t>
  </si>
  <si>
    <t>Csilléné Ijjas Petra fennmradó</t>
  </si>
  <si>
    <t>idén esedékes</t>
  </si>
  <si>
    <t>Kati számla</t>
  </si>
  <si>
    <t>Duster</t>
  </si>
  <si>
    <t>egyéb karbantartás</t>
  </si>
  <si>
    <t>Bankköltség</t>
  </si>
  <si>
    <t>egyéb</t>
  </si>
  <si>
    <t>cégautóadó</t>
  </si>
  <si>
    <t>KIA üzemanyag</t>
  </si>
  <si>
    <t>üzemanyag gépekbe</t>
  </si>
  <si>
    <t>Üzemanyag</t>
  </si>
  <si>
    <t>Duster karbantartás</t>
  </si>
  <si>
    <t xml:space="preserve">KIA karbantartása </t>
  </si>
  <si>
    <t>wifi eu</t>
  </si>
  <si>
    <t>Lodgy üzemanyag</t>
  </si>
  <si>
    <t>Lodgy karbantartás</t>
  </si>
  <si>
    <t>Elkülönített állami pénzalaptól működési célú támogatások bevételei (földalapú támogatás)</t>
  </si>
  <si>
    <t>0550637</t>
  </si>
  <si>
    <t>Hristov-Todorov Judit</t>
  </si>
  <si>
    <t>Tartalékok (elköt.pénzmaradv.terhére) Identitás pályázat</t>
  </si>
  <si>
    <t>Tartalékok (elköt.pénzmaradv.terhére) Közfoglalkoztatottak</t>
  </si>
  <si>
    <t>104030 - Gyermekek napközbeni ellátása</t>
  </si>
  <si>
    <t>Működési célű előzetesen felszámított áfa</t>
  </si>
  <si>
    <t>Egyéb működési bevételek előirányzata</t>
  </si>
  <si>
    <t>Béren kívüli juttatás</t>
  </si>
  <si>
    <t>074040 - Fertőző megbetegedések megelőzése, járványügyi ellátás</t>
  </si>
  <si>
    <t>Működési célú előzetesen felszámított általános forgalmi adó teljesítése</t>
  </si>
  <si>
    <t>053313</t>
  </si>
  <si>
    <t>2021. eredeti EI</t>
  </si>
  <si>
    <t>projektor, vetítő</t>
  </si>
  <si>
    <t>Csévi Kisbíró</t>
  </si>
  <si>
    <t>rendezési terv módosítások</t>
  </si>
  <si>
    <t>Rendelő</t>
  </si>
  <si>
    <t>2022. évi költségvetés eredeti előirányzata</t>
  </si>
  <si>
    <t>2022. évi eredeti EI</t>
  </si>
  <si>
    <t>ebből: Óvodaműködtetési támogatás</t>
  </si>
  <si>
    <t>ebből: Pedagógusok átlagbéralapú támogatása</t>
  </si>
  <si>
    <t>ebből:  segítők átlagbéralapú támogatása</t>
  </si>
  <si>
    <t>ebből: nemzetiségi támogatás</t>
  </si>
  <si>
    <t>091132</t>
  </si>
  <si>
    <t>Települési önkormányzatok gyermekétkeztetési feladatainak támogatása</t>
  </si>
  <si>
    <t>Települési önkormányzatok szociális, gyermekjóléti feladatainak támogatása</t>
  </si>
  <si>
    <t>ebből: rászoruló gyermekek szünidei étkeztetésének tám.</t>
  </si>
  <si>
    <t>Szja</t>
  </si>
  <si>
    <t>Lodgy karbantartási anyag</t>
  </si>
  <si>
    <t>elektromos kerékpár karbantartás</t>
  </si>
  <si>
    <t>általános karbantartás</t>
  </si>
  <si>
    <t>orvosi alkalmasság, eg.kiskönyv</t>
  </si>
  <si>
    <t>2022. eredeti EI</t>
  </si>
  <si>
    <t>SZJA</t>
  </si>
  <si>
    <t>Járulékok összesen:</t>
  </si>
  <si>
    <t>Járulékok</t>
  </si>
  <si>
    <t>Telekom internetszolgáltatás</t>
  </si>
  <si>
    <t>Telekom telefonszámla</t>
  </si>
  <si>
    <t>oktatás</t>
  </si>
  <si>
    <t>helyettesítés</t>
  </si>
  <si>
    <t>Megbízási díj</t>
  </si>
  <si>
    <t>Bedő Viktória</t>
  </si>
  <si>
    <t>Szocho</t>
  </si>
  <si>
    <t>gépek anyagköltségei, karb.anyagktg.</t>
  </si>
  <si>
    <t>Ebrendészeti feladatok</t>
  </si>
  <si>
    <t>Ebtartás, altatás</t>
  </si>
  <si>
    <t>Óvodának bölcsődére</t>
  </si>
  <si>
    <t>Polgármester ktgtérítése 2021.11hó</t>
  </si>
  <si>
    <t>Önkormányzati egyéb megbízások</t>
  </si>
  <si>
    <t>Urbanics utca 1 áram</t>
  </si>
  <si>
    <t>Urbanics utca 1 víz</t>
  </si>
  <si>
    <t>Urbanics utca 1 gáz</t>
  </si>
  <si>
    <t>Faház áram</t>
  </si>
  <si>
    <t>Iskola utca 10 áram</t>
  </si>
  <si>
    <t>Iskola utca 10 víz</t>
  </si>
  <si>
    <t>Iskola utca 10 gáz</t>
  </si>
  <si>
    <t>Hanganov</t>
  </si>
  <si>
    <t>december</t>
  </si>
  <si>
    <t>Kovács Kristóf</t>
  </si>
  <si>
    <t>Taki</t>
  </si>
  <si>
    <t>Iskola 10</t>
  </si>
  <si>
    <t>Velmovszki</t>
  </si>
  <si>
    <t>Dr. Borbola</t>
  </si>
  <si>
    <t>Dr. Bio</t>
  </si>
  <si>
    <t>MedAnna Bt.</t>
  </si>
  <si>
    <t>Tartalékok (elköt. pénzmaradv. terhére) Iskola energetika támogatás</t>
  </si>
  <si>
    <t>Tartalékok (elköt. Pénzmaradv. Terhére) Iskola energetika önerő</t>
  </si>
  <si>
    <t>Tartalékok (elköt. Pénzmaradv. Terhére) Kesztölci utca önerő</t>
  </si>
  <si>
    <t>Tartalékok (elköt. Pénzmaradv. Terhére) MFP előkészítés</t>
  </si>
  <si>
    <t>Gondi Béláné</t>
  </si>
  <si>
    <t>Weizner Erzsébet</t>
  </si>
  <si>
    <t>Karnai Lászlóné</t>
  </si>
  <si>
    <t>Működési célú költségvetési támogatások és kiegészítő támogatások (2022.évi bérintézkedések)</t>
  </si>
  <si>
    <t>ebből: 1.1.1. Önkormányzat működés</t>
  </si>
  <si>
    <t>ebből: 1.2. köznevelés</t>
  </si>
  <si>
    <t>ebből: 1.3. Bölcsőde</t>
  </si>
  <si>
    <t>ebből: 1.4. gyermekétkezés</t>
  </si>
  <si>
    <t>Tartalékok (elköt. Pénzmaradv. Terhére) 2021. évi szoc tüzifa szállítás</t>
  </si>
  <si>
    <t>MÁK Pályázati számlán maradó egyenleg (Iskola energetika):</t>
  </si>
  <si>
    <t>Tartalékok (elköt. Pénzmaradv. Terhére) 2021. évre vonatkozó visszafizetés</t>
  </si>
  <si>
    <t>Piliscsév Község Önkormányzata 2021. költségvetési évre 2022-ről átvihető pénzmaradványa</t>
  </si>
  <si>
    <t>Polgármester jutalom</t>
  </si>
  <si>
    <t>2023. évi eredeti EI</t>
  </si>
  <si>
    <t>következő évre átvitt</t>
  </si>
  <si>
    <t>2022.évi pályázat</t>
  </si>
  <si>
    <t>6 hónapra tervezve</t>
  </si>
  <si>
    <t>Polgármester bér</t>
  </si>
  <si>
    <t>Alpolgármester tiszteletdíja</t>
  </si>
  <si>
    <t>Alpolgármester ktgtérítése</t>
  </si>
  <si>
    <t>Polgármester szép kártya</t>
  </si>
  <si>
    <t>Vincent Auditor</t>
  </si>
  <si>
    <t>Egészségműhely</t>
  </si>
  <si>
    <t>Kalásznet</t>
  </si>
  <si>
    <t>hrsz 387</t>
  </si>
  <si>
    <t xml:space="preserve">Kiküldetések kiadásai </t>
  </si>
  <si>
    <t>ebből: közvill kiegészítés</t>
  </si>
  <si>
    <t>ebből: üzemeltetési támogatás</t>
  </si>
  <si>
    <t>Gondi Győző 2022.12.hó</t>
  </si>
  <si>
    <t>Gondi Győző 2023. 11 hó</t>
  </si>
  <si>
    <t>0511031</t>
  </si>
  <si>
    <t>Jutalmak</t>
  </si>
  <si>
    <t>EP 2022</t>
  </si>
  <si>
    <t>EP 2023</t>
  </si>
  <si>
    <t>Védőnő bére</t>
  </si>
  <si>
    <t>Jutalom</t>
  </si>
  <si>
    <t>Kosztká Gáborné</t>
  </si>
  <si>
    <t>Konyhai dolgozó bére (Ijjas Ferencné) 2022.12.hó</t>
  </si>
  <si>
    <t>Konyhai dolgozó bére (Ijjas Ferencné) 2023.11 hó</t>
  </si>
  <si>
    <t>bankköltség hozzájárulás</t>
  </si>
  <si>
    <t>Ijjas Fné</t>
  </si>
  <si>
    <t>Tartalékok (elköt. pénzmaradv. terhére) Bölcsőde fejlesztés</t>
  </si>
  <si>
    <t>Tartalékok (elköt. Pénzmaradv. Terhére) Iskola energetika</t>
  </si>
  <si>
    <t>Tartalékok (elköt. Pénzmaradv. Terhére) Közösségszervezés</t>
  </si>
  <si>
    <t>Általános Tartalék</t>
  </si>
  <si>
    <t>Tartalékok (elköt. Pénzmaradv. Terhére) 2022. évi szoc tüzifa</t>
  </si>
  <si>
    <t>Tartalékok (elköt. Pénzmaradv. Terhére) Petőfi S. játszótér</t>
  </si>
  <si>
    <t>kerekítések</t>
  </si>
  <si>
    <t>műszaki vizsga</t>
  </si>
  <si>
    <t>egyéb beszerzés</t>
  </si>
  <si>
    <t>094021</t>
  </si>
  <si>
    <t>szoc tüzifa</t>
  </si>
  <si>
    <t>szoc tüzifa áfa</t>
  </si>
  <si>
    <t>ebből: Szlanka Henrietta</t>
  </si>
  <si>
    <t>ebből: Strbik Attila</t>
  </si>
  <si>
    <t>ebből: Székely Józsefné</t>
  </si>
  <si>
    <t>ebből: Pacsics Julianna</t>
  </si>
  <si>
    <t>ebből: Janovszki Gergő, Sélley Vivien Virág</t>
  </si>
  <si>
    <t>ebből: Rumpli Józsefné</t>
  </si>
  <si>
    <t>2022. évi elszámolásból eredő bevétel</t>
  </si>
  <si>
    <t>Elszámolásból származó bevételek - 2022. évi pótigénylés</t>
  </si>
  <si>
    <t>2023. évi költségvetés I. számú előirányzat módosítás</t>
  </si>
  <si>
    <t>Petőfi S. játszóeszközök</t>
  </si>
  <si>
    <t xml:space="preserve">Illetmények </t>
  </si>
  <si>
    <t>Közösségszervezés</t>
  </si>
  <si>
    <t>Üzemeltetési anyagok</t>
  </si>
  <si>
    <t>MFP előkészítés</t>
  </si>
  <si>
    <t>Működési célú előzetesen felszámított általános forgalmi adó (közösségszervezés)</t>
  </si>
  <si>
    <t>Informatikai eszközök beszerzése</t>
  </si>
  <si>
    <t>Tárgyi eszköz beszerzés</t>
  </si>
  <si>
    <t>MFP előkészítés áfa</t>
  </si>
  <si>
    <t>Illetmények</t>
  </si>
  <si>
    <t>Iskola felújítás</t>
  </si>
  <si>
    <t>Bölcsőde felújítás</t>
  </si>
  <si>
    <t>Bölcsőde eszköz besz</t>
  </si>
  <si>
    <t>játszótér áfa</t>
  </si>
  <si>
    <t>bölcsőde áfa</t>
  </si>
  <si>
    <t>egyéb áfa</t>
  </si>
  <si>
    <t>Iskola felújítás áfa</t>
  </si>
  <si>
    <t>Bölcsőde felújítás áfa</t>
  </si>
  <si>
    <t>I.  sz módosítás</t>
  </si>
  <si>
    <t>I. sz módosítás</t>
  </si>
  <si>
    <t>ebből: 2023. évi bérintézkedés</t>
  </si>
  <si>
    <t>ebből: Szivekné Vojczek Zsuzsa</t>
  </si>
  <si>
    <t>Elszámolásból származó bevételek</t>
  </si>
  <si>
    <t>074032 - Ifjúsági-egészségügyi gondozás</t>
  </si>
  <si>
    <t>Egyéb működési célú támogatások bevételei államháztartáson belülről (iskola eü)</t>
  </si>
  <si>
    <t>Művelődési Háznak átadott bérkiegészítés</t>
  </si>
  <si>
    <t>Óvodának átadott bérkiegészítés</t>
  </si>
  <si>
    <t>Óvodának bölcsődére bérkiegészítés</t>
  </si>
  <si>
    <t>Balázs Márta Mariann</t>
  </si>
  <si>
    <t>Bérleti díjak</t>
  </si>
  <si>
    <t>ebből: Pedagógus II. minősítés</t>
  </si>
  <si>
    <t>Közös Hivatalnak átadott bérkiegészítés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</si>
</sst>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#,##0\ &quot;Ft&quot;;[Red]\-#,##0\ &quot;Ft&quot;"/>
    <numFmt numFmtId="164" formatCode="_-* #,##0.00,_F_t_-;\-* #,##0.00,_F_t_-;_-* \-??\ _F_t_-;_-@_-"/>
    <numFmt numFmtId="165" formatCode="_-* #,##0,_F_t_-;\-* #,##0,_F_t_-;_-* \-??\ _F_t_-;_-@_-"/>
    <numFmt numFmtId="166" formatCode="_-* #,##0.00,&quot;Ft&quot;_-;\-* #,##0.00,&quot;Ft&quot;_-;_-* \-??&quot; Ft&quot;_-;_-@_-"/>
    <numFmt numFmtId="167" formatCode="_-* #,##0,&quot;Ft&quot;_-;\-* #,##0,&quot;Ft&quot;_-;_-* \-??&quot; Ft&quot;_-;_-@_-"/>
    <numFmt numFmtId="168" formatCode="#,##0_ ;\-#,##0\ "/>
    <numFmt numFmtId="169" formatCode="#,##0,&quot;Ft&quot;"/>
    <numFmt numFmtId="170" formatCode="#,##0&quot; Ft&quot;;[Red]\-#,##0&quot; Ft&quot;"/>
    <numFmt numFmtId="171" formatCode="0.0%"/>
    <numFmt numFmtId="172" formatCode="#,##0.0"/>
    <numFmt numFmtId="173" formatCode="#,##0\ &quot;Ft&quot;"/>
    <numFmt numFmtId="174" formatCode="#,##0\ _F_t"/>
  </numFmts>
  <fonts count="77">
    <font>
      <sz val="10"/>
      <name val="Arial"/>
      <family val="2"/>
      <charset val="1"/>
    </font>
    <font>
      <sz val="11"/>
      <name val="Traditional Arabic"/>
      <family val="1"/>
      <charset val="1"/>
    </font>
    <font>
      <b/>
      <sz val="11"/>
      <name val="Traditional Arabic"/>
      <family val="1"/>
      <charset val="1"/>
    </font>
    <font>
      <i/>
      <sz val="11"/>
      <name val="Traditional Arabic"/>
      <family val="1"/>
      <charset val="1"/>
    </font>
    <font>
      <b/>
      <i/>
      <sz val="11"/>
      <name val="Traditional Arabic"/>
      <family val="1"/>
      <charset val="1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1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1"/>
    </font>
    <font>
      <sz val="10"/>
      <color rgb="FFFF0000"/>
      <name val="Arial"/>
      <family val="2"/>
      <charset val="1"/>
    </font>
    <font>
      <b/>
      <sz val="12"/>
      <name val="Times New Roman"/>
      <family val="1"/>
      <charset val="238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rgb="FF333333"/>
      <name val="Verdana"/>
      <family val="2"/>
      <charset val="238"/>
    </font>
    <font>
      <b/>
      <sz val="10"/>
      <name val="Times New Roman"/>
      <family val="1"/>
      <charset val="238"/>
    </font>
    <font>
      <sz val="7"/>
      <name val="Verdana"/>
      <family val="2"/>
      <charset val="238"/>
    </font>
    <font>
      <b/>
      <sz val="7"/>
      <name val="Verdana"/>
      <family val="2"/>
      <charset val="238"/>
    </font>
    <font>
      <sz val="7"/>
      <color rgb="FF333333"/>
      <name val="Verdana"/>
      <family val="2"/>
      <charset val="238"/>
    </font>
    <font>
      <sz val="10"/>
      <color rgb="FFFFFFFF"/>
      <name val="Arial"/>
      <family val="2"/>
      <charset val="1"/>
    </font>
    <font>
      <i/>
      <sz val="7"/>
      <color rgb="FF333333"/>
      <name val="Verdana"/>
      <family val="2"/>
      <charset val="238"/>
    </font>
    <font>
      <i/>
      <sz val="7"/>
      <name val="Verdana"/>
      <family val="2"/>
      <charset val="238"/>
    </font>
    <font>
      <i/>
      <sz val="10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b/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i/>
      <sz val="9"/>
      <name val="Times New Roman"/>
      <family val="1"/>
      <charset val="238"/>
    </font>
    <font>
      <sz val="8"/>
      <name val="Arial"/>
      <family val="2"/>
      <charset val="1"/>
    </font>
    <font>
      <i/>
      <sz val="10"/>
      <color rgb="FFC0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7"/>
      <name val="Verdana"/>
      <family val="2"/>
      <charset val="238"/>
    </font>
    <font>
      <i/>
      <sz val="7"/>
      <color rgb="FFC00000"/>
      <name val="Verdana"/>
      <family val="2"/>
      <charset val="238"/>
    </font>
    <font>
      <sz val="7"/>
      <name val="Arial"/>
      <family val="2"/>
      <charset val="238"/>
    </font>
    <font>
      <sz val="10"/>
      <color rgb="FF385724"/>
      <name val="Arial"/>
      <family val="2"/>
      <charset val="1"/>
    </font>
    <font>
      <sz val="10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11"/>
      <name val="Traditional Arabic"/>
      <family val="1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 CE"/>
      <family val="2"/>
      <charset val="238"/>
    </font>
    <font>
      <i/>
      <sz val="7"/>
      <color rgb="FFFF0000"/>
      <name val="Verdana"/>
      <family val="2"/>
      <charset val="238"/>
    </font>
    <font>
      <i/>
      <sz val="7"/>
      <color rgb="FF385724"/>
      <name val="Verdana"/>
      <family val="2"/>
      <charset val="238"/>
    </font>
    <font>
      <i/>
      <sz val="8"/>
      <name val="Times New Roman"/>
      <family val="1"/>
      <charset val="238"/>
    </font>
    <font>
      <b/>
      <i/>
      <sz val="7"/>
      <color theme="9"/>
      <name val="Verdana"/>
      <family val="2"/>
      <charset val="238"/>
    </font>
    <font>
      <b/>
      <sz val="10"/>
      <color theme="9"/>
      <name val="Arial"/>
      <family val="2"/>
      <charset val="238"/>
    </font>
    <font>
      <i/>
      <sz val="8"/>
      <color rgb="FFFF0000"/>
      <name val="Verdana"/>
      <family val="2"/>
      <charset val="238"/>
    </font>
    <font>
      <b/>
      <sz val="11"/>
      <name val="Traditional Arabic"/>
      <family val="1"/>
    </font>
    <font>
      <sz val="11"/>
      <name val="Traditional Arabic"/>
      <family val="1"/>
    </font>
    <font>
      <sz val="10"/>
      <name val="Traditional Arabic"/>
      <family val="1"/>
    </font>
    <font>
      <sz val="9"/>
      <color rgb="FF333333"/>
      <name val="Times New Roman"/>
      <family val="1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i/>
      <sz val="9"/>
      <color rgb="FFFF0000"/>
      <name val="Calibri Light"/>
      <family val="2"/>
      <charset val="238"/>
    </font>
    <font>
      <b/>
      <sz val="9"/>
      <color rgb="FFFF0000"/>
      <name val="Calibri Light"/>
      <family val="2"/>
      <charset val="238"/>
    </font>
    <font>
      <sz val="9"/>
      <color rgb="FF333333"/>
      <name val="Calibri Light"/>
      <family val="2"/>
      <charset val="238"/>
    </font>
    <font>
      <i/>
      <sz val="9"/>
      <name val="Calibri Light"/>
      <family val="2"/>
      <charset val="238"/>
    </font>
    <font>
      <b/>
      <i/>
      <sz val="9"/>
      <color theme="9"/>
      <name val="Calibri Light"/>
      <family val="2"/>
      <charset val="238"/>
    </font>
    <font>
      <sz val="9"/>
      <color rgb="FFFF0000"/>
      <name val="Calibri Light"/>
      <family val="2"/>
      <charset val="238"/>
    </font>
    <font>
      <i/>
      <sz val="9"/>
      <color rgb="FFC00000"/>
      <name val="Calibri Light"/>
      <family val="2"/>
      <charset val="238"/>
    </font>
    <font>
      <i/>
      <sz val="9"/>
      <color theme="9"/>
      <name val="Calibri Light"/>
      <family val="2"/>
      <charset val="238"/>
    </font>
    <font>
      <i/>
      <sz val="9"/>
      <color rgb="FF385724"/>
      <name val="Calibri Light"/>
      <family val="2"/>
      <charset val="238"/>
    </font>
    <font>
      <sz val="9"/>
      <name val="Arial"/>
      <family val="2"/>
      <charset val="1"/>
    </font>
    <font>
      <sz val="12"/>
      <name val="Times New Roman"/>
      <family val="1"/>
      <charset val="238"/>
    </font>
    <font>
      <sz val="8"/>
      <name val="Arial"/>
      <family val="2"/>
    </font>
    <font>
      <i/>
      <sz val="8"/>
      <name val="Arial"/>
      <family val="2"/>
    </font>
    <font>
      <i/>
      <sz val="8"/>
      <name val="Verdana"/>
      <family val="2"/>
      <charset val="238"/>
    </font>
    <font>
      <sz val="10"/>
      <name val="Berlin Sans FB"/>
      <family val="2"/>
    </font>
    <font>
      <i/>
      <sz val="10"/>
      <name val="Berlin Sans FB"/>
      <family val="2"/>
    </font>
    <font>
      <i/>
      <sz val="10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699"/>
        <bgColor rgb="FFFFFF99"/>
      </patternFill>
    </fill>
    <fill>
      <patternFill patternType="solid">
        <fgColor rgb="FFDEEBF7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8CBAD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99"/>
      </patternFill>
    </fill>
    <fill>
      <patternFill patternType="solid">
        <fgColor rgb="FFFAC090"/>
        <bgColor rgb="FFFFCC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BDD7EE"/>
        <bgColor rgb="FF9DC3E6"/>
      </patternFill>
    </fill>
    <fill>
      <patternFill patternType="solid">
        <fgColor rgb="FFCCFFFF"/>
        <bgColor rgb="FFCC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9DC3E6"/>
      </patternFill>
    </fill>
    <fill>
      <patternFill patternType="solid">
        <fgColor theme="5" tint="0.59999389629810485"/>
        <bgColor rgb="FFF8CBAD"/>
      </patternFill>
    </fill>
    <fill>
      <patternFill patternType="solid">
        <fgColor theme="5" tint="0.59999389629810485"/>
        <b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rgb="FFFFF2CC"/>
      </patternFill>
    </fill>
  </fills>
  <borders count="8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164" fontId="40" fillId="0" borderId="0" applyBorder="0">
      <protection locked="0"/>
    </xf>
    <xf numFmtId="166" fontId="16" fillId="0" borderId="0" applyBorder="0" applyProtection="0"/>
    <xf numFmtId="9" fontId="40" fillId="0" borderId="0" applyBorder="0">
      <protection locked="0"/>
    </xf>
  </cellStyleXfs>
  <cellXfs count="993">
    <xf numFmtId="0" fontId="0" fillId="0" borderId="0" xfId="0"/>
    <xf numFmtId="0" fontId="1" fillId="0" borderId="0" xfId="0" applyFont="1"/>
    <xf numFmtId="0" fontId="2" fillId="2" borderId="0" xfId="0" applyFont="1" applyFill="1"/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/>
    </xf>
    <xf numFmtId="0" fontId="1" fillId="3" borderId="10" xfId="0" applyFont="1" applyFill="1" applyBorder="1"/>
    <xf numFmtId="165" fontId="40" fillId="0" borderId="11" xfId="1" applyNumberFormat="1" applyBorder="1">
      <protection locked="0"/>
    </xf>
    <xf numFmtId="49" fontId="3" fillId="4" borderId="10" xfId="3" applyNumberFormat="1" applyFont="1" applyFill="1" applyBorder="1" applyAlignment="1" applyProtection="1">
      <alignment horizontal="center"/>
    </xf>
    <xf numFmtId="3" fontId="1" fillId="4" borderId="11" xfId="0" applyNumberFormat="1" applyFont="1" applyFill="1" applyBorder="1"/>
    <xf numFmtId="165" fontId="40" fillId="0" borderId="13" xfId="1" applyNumberFormat="1" applyBorder="1">
      <protection locked="0"/>
    </xf>
    <xf numFmtId="165" fontId="40" fillId="0" borderId="14" xfId="1" applyNumberFormat="1" applyBorder="1">
      <protection locked="0"/>
    </xf>
    <xf numFmtId="49" fontId="3" fillId="3" borderId="12" xfId="0" applyNumberFormat="1" applyFont="1" applyFill="1" applyBorder="1" applyAlignment="1">
      <alignment horizontal="center"/>
    </xf>
    <xf numFmtId="0" fontId="1" fillId="3" borderId="15" xfId="0" applyFont="1" applyFill="1" applyBorder="1"/>
    <xf numFmtId="49" fontId="3" fillId="4" borderId="15" xfId="3" applyNumberFormat="1" applyFont="1" applyFill="1" applyBorder="1" applyAlignment="1" applyProtection="1">
      <alignment horizontal="center"/>
    </xf>
    <xf numFmtId="3" fontId="1" fillId="4" borderId="16" xfId="0" applyNumberFormat="1" applyFont="1" applyFill="1" applyBorder="1"/>
    <xf numFmtId="49" fontId="3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/>
    <xf numFmtId="49" fontId="3" fillId="4" borderId="18" xfId="3" applyNumberFormat="1" applyFont="1" applyFill="1" applyBorder="1" applyAlignment="1" applyProtection="1">
      <alignment horizontal="center"/>
    </xf>
    <xf numFmtId="3" fontId="1" fillId="4" borderId="19" xfId="0" applyNumberFormat="1" applyFont="1" applyFill="1" applyBorder="1"/>
    <xf numFmtId="165" fontId="40" fillId="0" borderId="20" xfId="1" applyNumberFormat="1" applyBorder="1">
      <protection locked="0"/>
    </xf>
    <xf numFmtId="165" fontId="40" fillId="0" borderId="21" xfId="1" applyNumberFormat="1" applyBorder="1">
      <protection locked="0"/>
    </xf>
    <xf numFmtId="49" fontId="4" fillId="3" borderId="1" xfId="0" applyNumberFormat="1" applyFont="1" applyFill="1" applyBorder="1" applyAlignment="1">
      <alignment horizontal="center"/>
    </xf>
    <xf numFmtId="3" fontId="2" fillId="4" borderId="3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165" fontId="40" fillId="0" borderId="2" xfId="1" applyNumberFormat="1" applyBorder="1">
      <protection locked="0"/>
    </xf>
    <xf numFmtId="49" fontId="3" fillId="3" borderId="24" xfId="0" applyNumberFormat="1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165" fontId="40" fillId="0" borderId="27" xfId="1" applyNumberFormat="1" applyBorder="1">
      <protection locked="0"/>
    </xf>
    <xf numFmtId="165" fontId="40" fillId="0" borderId="28" xfId="1" applyNumberFormat="1" applyBorder="1">
      <protection locked="0"/>
    </xf>
    <xf numFmtId="0" fontId="0" fillId="2" borderId="0" xfId="0" applyFill="1"/>
    <xf numFmtId="3" fontId="1" fillId="4" borderId="31" xfId="0" applyNumberFormat="1" applyFont="1" applyFill="1" applyBorder="1"/>
    <xf numFmtId="165" fontId="40" fillId="0" borderId="33" xfId="1" applyNumberFormat="1" applyBorder="1">
      <protection locked="0"/>
    </xf>
    <xf numFmtId="49" fontId="4" fillId="3" borderId="34" xfId="0" applyNumberFormat="1" applyFont="1" applyFill="1" applyBorder="1" applyAlignment="1">
      <alignment horizontal="center"/>
    </xf>
    <xf numFmtId="49" fontId="3" fillId="4" borderId="20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/>
    </xf>
    <xf numFmtId="3" fontId="1" fillId="0" borderId="0" xfId="3" applyNumberFormat="1" applyFont="1" applyBorder="1" applyProtection="1"/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6" borderId="37" xfId="0" applyFont="1" applyFill="1" applyBorder="1" applyAlignment="1">
      <alignment horizontal="center" vertical="center" wrapText="1" shrinkToFit="1"/>
    </xf>
    <xf numFmtId="0" fontId="8" fillId="6" borderId="42" xfId="0" applyFont="1" applyFill="1" applyBorder="1" applyAlignment="1">
      <alignment horizontal="center" vertical="center" wrapText="1" shrinkToFit="1"/>
    </xf>
    <xf numFmtId="49" fontId="9" fillId="0" borderId="44" xfId="0" applyNumberFormat="1" applyFont="1" applyBorder="1" applyAlignment="1">
      <alignment vertical="center" wrapText="1" shrinkToFit="1"/>
    </xf>
    <xf numFmtId="49" fontId="9" fillId="0" borderId="45" xfId="0" applyNumberFormat="1" applyFont="1" applyBorder="1" applyAlignment="1">
      <alignment vertical="center" wrapText="1" shrinkToFit="1"/>
    </xf>
    <xf numFmtId="3" fontId="9" fillId="0" borderId="45" xfId="0" applyNumberFormat="1" applyFont="1" applyBorder="1" applyAlignment="1">
      <alignment vertical="center" wrapText="1" shrinkToFit="1"/>
    </xf>
    <xf numFmtId="3" fontId="9" fillId="0" borderId="9" xfId="0" applyNumberFormat="1" applyFont="1" applyBorder="1" applyAlignment="1">
      <alignment vertical="center" wrapText="1" shrinkToFit="1"/>
    </xf>
    <xf numFmtId="49" fontId="9" fillId="0" borderId="29" xfId="0" applyNumberFormat="1" applyFont="1" applyBorder="1" applyAlignment="1">
      <alignment vertical="center" wrapText="1" shrinkToFit="1"/>
    </xf>
    <xf numFmtId="49" fontId="9" fillId="0" borderId="30" xfId="0" applyNumberFormat="1" applyFont="1" applyBorder="1" applyAlignment="1">
      <alignment vertical="center" wrapText="1" shrinkToFit="1"/>
    </xf>
    <xf numFmtId="3" fontId="9" fillId="0" borderId="30" xfId="0" applyNumberFormat="1" applyFont="1" applyBorder="1" applyAlignment="1">
      <alignment vertical="center" wrapText="1" shrinkToFit="1"/>
    </xf>
    <xf numFmtId="3" fontId="9" fillId="0" borderId="12" xfId="0" applyNumberFormat="1" applyFont="1" applyBorder="1" applyAlignment="1">
      <alignment vertical="center" wrapText="1" shrinkToFit="1"/>
    </xf>
    <xf numFmtId="49" fontId="9" fillId="0" borderId="34" xfId="0" applyNumberFormat="1" applyFont="1" applyBorder="1" applyAlignment="1">
      <alignment vertical="center" wrapText="1" shrinkToFit="1"/>
    </xf>
    <xf numFmtId="49" fontId="9" fillId="0" borderId="35" xfId="0" applyNumberFormat="1" applyFont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wrapText="1" shrinkToFit="1"/>
    </xf>
    <xf numFmtId="3" fontId="9" fillId="0" borderId="17" xfId="0" applyNumberFormat="1" applyFont="1" applyBorder="1" applyAlignment="1">
      <alignment vertical="center" wrapText="1" shrinkToFit="1"/>
    </xf>
    <xf numFmtId="3" fontId="10" fillId="5" borderId="48" xfId="0" applyNumberFormat="1" applyFont="1" applyFill="1" applyBorder="1" applyAlignment="1">
      <alignment vertical="center" wrapText="1" shrinkToFit="1"/>
    </xf>
    <xf numFmtId="3" fontId="10" fillId="5" borderId="2" xfId="0" applyNumberFormat="1" applyFont="1" applyFill="1" applyBorder="1" applyAlignment="1">
      <alignment vertical="center" wrapText="1" shrinkToFit="1"/>
    </xf>
    <xf numFmtId="3" fontId="12" fillId="5" borderId="48" xfId="0" applyNumberFormat="1" applyFont="1" applyFill="1" applyBorder="1" applyAlignment="1">
      <alignment vertical="center" wrapText="1" shrinkToFit="1"/>
    </xf>
    <xf numFmtId="3" fontId="12" fillId="5" borderId="2" xfId="0" applyNumberFormat="1" applyFont="1" applyFill="1" applyBorder="1" applyAlignment="1">
      <alignment vertical="center" wrapText="1" shrinkToFit="1"/>
    </xf>
    <xf numFmtId="0" fontId="13" fillId="0" borderId="0" xfId="0" applyFont="1"/>
    <xf numFmtId="49" fontId="9" fillId="0" borderId="36" xfId="0" applyNumberFormat="1" applyFont="1" applyBorder="1" applyAlignment="1">
      <alignment vertical="center" wrapText="1" shrinkToFit="1"/>
    </xf>
    <xf numFmtId="49" fontId="9" fillId="0" borderId="37" xfId="0" applyNumberFormat="1" applyFont="1" applyBorder="1" applyAlignment="1">
      <alignment vertical="center" wrapText="1" shrinkToFit="1"/>
    </xf>
    <xf numFmtId="3" fontId="9" fillId="0" borderId="37" xfId="0" applyNumberFormat="1" applyFont="1" applyBorder="1" applyAlignment="1">
      <alignment vertical="center" wrapText="1" shrinkToFit="1"/>
    </xf>
    <xf numFmtId="3" fontId="9" fillId="0" borderId="43" xfId="0" applyNumberFormat="1" applyFont="1" applyBorder="1" applyAlignment="1">
      <alignment vertical="center" wrapText="1" shrinkToFit="1"/>
    </xf>
    <xf numFmtId="49" fontId="12" fillId="5" borderId="47" xfId="0" applyNumberFormat="1" applyFont="1" applyFill="1" applyBorder="1" applyAlignment="1">
      <alignment vertical="center" wrapText="1" shrinkToFit="1"/>
    </xf>
    <xf numFmtId="49" fontId="12" fillId="5" borderId="48" xfId="0" applyNumberFormat="1" applyFont="1" applyFill="1" applyBorder="1" applyAlignment="1">
      <alignment vertical="center" wrapText="1" shrinkToFit="1"/>
    </xf>
    <xf numFmtId="3" fontId="12" fillId="3" borderId="2" xfId="0" applyNumberFormat="1" applyFont="1" applyFill="1" applyBorder="1" applyAlignment="1">
      <alignment vertical="center" wrapText="1" shrinkToFit="1"/>
    </xf>
    <xf numFmtId="3" fontId="0" fillId="0" borderId="0" xfId="0" applyNumberFormat="1"/>
    <xf numFmtId="0" fontId="0" fillId="0" borderId="0" xfId="0" applyAlignment="1">
      <alignment horizontal="center"/>
    </xf>
    <xf numFmtId="167" fontId="16" fillId="0" borderId="0" xfId="2" applyNumberFormat="1" applyBorder="1" applyProtection="1"/>
    <xf numFmtId="167" fontId="7" fillId="0" borderId="0" xfId="2" applyNumberFormat="1" applyFont="1" applyBorder="1" applyAlignment="1" applyProtection="1">
      <alignment horizontal="right"/>
    </xf>
    <xf numFmtId="0" fontId="17" fillId="2" borderId="0" xfId="0" applyFont="1" applyFill="1" applyAlignment="1">
      <alignment horizontal="center"/>
    </xf>
    <xf numFmtId="49" fontId="20" fillId="0" borderId="44" xfId="0" applyNumberFormat="1" applyFont="1" applyBorder="1" applyAlignment="1">
      <alignment horizontal="left" vertical="center" wrapText="1" shrinkToFit="1"/>
    </xf>
    <xf numFmtId="0" fontId="20" fillId="0" borderId="45" xfId="0" applyFont="1" applyBorder="1" applyAlignment="1">
      <alignment horizontal="left" vertical="center" wrapText="1" shrinkToFit="1"/>
    </xf>
    <xf numFmtId="3" fontId="20" fillId="0" borderId="45" xfId="0" applyNumberFormat="1" applyFont="1" applyBorder="1" applyAlignment="1">
      <alignment horizontal="right" wrapText="1" shrinkToFit="1"/>
    </xf>
    <xf numFmtId="3" fontId="20" fillId="0" borderId="9" xfId="0" applyNumberFormat="1" applyFont="1" applyBorder="1" applyAlignment="1">
      <alignment horizontal="right" wrapText="1" shrinkToFit="1"/>
    </xf>
    <xf numFmtId="0" fontId="22" fillId="0" borderId="29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3" fontId="22" fillId="0" borderId="12" xfId="0" applyNumberFormat="1" applyFont="1" applyBorder="1" applyAlignment="1" applyProtection="1">
      <alignment wrapText="1"/>
      <protection locked="0"/>
    </xf>
    <xf numFmtId="0" fontId="23" fillId="2" borderId="0" xfId="0" applyFont="1" applyFill="1"/>
    <xf numFmtId="0" fontId="24" fillId="0" borderId="30" xfId="0" applyFont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vertical="center" wrapText="1"/>
      <protection locked="0"/>
    </xf>
    <xf numFmtId="3" fontId="18" fillId="0" borderId="48" xfId="0" applyNumberFormat="1" applyFont="1" applyBorder="1" applyAlignment="1" applyProtection="1">
      <alignment vertical="center" wrapText="1"/>
      <protection locked="0"/>
    </xf>
    <xf numFmtId="3" fontId="18" fillId="0" borderId="2" xfId="0" applyNumberFormat="1" applyFont="1" applyBorder="1" applyAlignment="1" applyProtection="1">
      <alignment vertical="center" wrapText="1"/>
      <protection locked="0"/>
    </xf>
    <xf numFmtId="3" fontId="22" fillId="0" borderId="35" xfId="0" applyNumberFormat="1" applyFont="1" applyBorder="1" applyAlignment="1" applyProtection="1">
      <alignment vertical="center" wrapText="1"/>
      <protection locked="0"/>
    </xf>
    <xf numFmtId="3" fontId="22" fillId="0" borderId="17" xfId="0" applyNumberFormat="1" applyFont="1" applyBorder="1" applyAlignment="1" applyProtection="1">
      <alignment vertical="center" wrapText="1"/>
      <protection locked="0"/>
    </xf>
    <xf numFmtId="49" fontId="24" fillId="0" borderId="29" xfId="0" applyNumberFormat="1" applyFont="1" applyBorder="1" applyAlignment="1" applyProtection="1">
      <alignment vertical="center" wrapText="1"/>
      <protection locked="0"/>
    </xf>
    <xf numFmtId="3" fontId="25" fillId="0" borderId="12" xfId="1" applyNumberFormat="1" applyFont="1" applyBorder="1">
      <protection locked="0"/>
    </xf>
    <xf numFmtId="3" fontId="25" fillId="0" borderId="30" xfId="1" applyNumberFormat="1" applyFont="1" applyBorder="1">
      <protection locked="0"/>
    </xf>
    <xf numFmtId="0" fontId="24" fillId="0" borderId="29" xfId="0" applyFont="1" applyBorder="1" applyAlignment="1" applyProtection="1">
      <alignment vertical="center" wrapText="1"/>
      <protection locked="0"/>
    </xf>
    <xf numFmtId="49" fontId="22" fillId="0" borderId="59" xfId="0" applyNumberFormat="1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3" fontId="20" fillId="0" borderId="17" xfId="1" applyNumberFormat="1" applyFont="1" applyBorder="1">
      <protection locked="0"/>
    </xf>
    <xf numFmtId="49" fontId="22" fillId="0" borderId="36" xfId="0" applyNumberFormat="1" applyFont="1" applyBorder="1" applyAlignment="1" applyProtection="1">
      <alignment vertical="center" wrapText="1"/>
      <protection locked="0"/>
    </xf>
    <xf numFmtId="0" fontId="22" fillId="0" borderId="37" xfId="0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12" xfId="0" applyNumberFormat="1" applyFont="1" applyBorder="1" applyAlignment="1" applyProtection="1">
      <alignment vertical="center" wrapText="1"/>
      <protection locked="0"/>
    </xf>
    <xf numFmtId="3" fontId="20" fillId="2" borderId="35" xfId="0" applyNumberFormat="1" applyFont="1" applyFill="1" applyBorder="1" applyAlignment="1" applyProtection="1">
      <alignment vertical="center" wrapText="1"/>
      <protection locked="0"/>
    </xf>
    <xf numFmtId="3" fontId="20" fillId="2" borderId="17" xfId="0" applyNumberFormat="1" applyFont="1" applyFill="1" applyBorder="1" applyAlignment="1" applyProtection="1">
      <alignment vertical="center" wrapText="1"/>
      <protection locked="0"/>
    </xf>
    <xf numFmtId="168" fontId="20" fillId="0" borderId="17" xfId="2" applyNumberFormat="1" applyFont="1" applyBorder="1" applyAlignment="1" applyProtection="1">
      <alignment vertical="center"/>
    </xf>
    <xf numFmtId="0" fontId="26" fillId="0" borderId="0" xfId="0" applyFont="1"/>
    <xf numFmtId="3" fontId="22" fillId="2" borderId="30" xfId="0" applyNumberFormat="1" applyFont="1" applyFill="1" applyBorder="1" applyAlignment="1" applyProtection="1">
      <alignment vertical="center" wrapText="1"/>
      <protection locked="0"/>
    </xf>
    <xf numFmtId="3" fontId="22" fillId="2" borderId="12" xfId="0" applyNumberFormat="1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16" fillId="0" borderId="0" xfId="2" applyNumberFormat="1" applyBorder="1" applyProtection="1"/>
    <xf numFmtId="3" fontId="17" fillId="9" borderId="48" xfId="2" applyNumberFormat="1" applyFont="1" applyFill="1" applyBorder="1" applyProtection="1"/>
    <xf numFmtId="3" fontId="17" fillId="9" borderId="2" xfId="2" applyNumberFormat="1" applyFont="1" applyFill="1" applyBorder="1" applyProtection="1"/>
    <xf numFmtId="0" fontId="17" fillId="0" borderId="0" xfId="0" applyFont="1"/>
    <xf numFmtId="3" fontId="17" fillId="0" borderId="0" xfId="0" applyNumberFormat="1" applyFont="1"/>
    <xf numFmtId="0" fontId="7" fillId="0" borderId="0" xfId="0" applyFont="1"/>
    <xf numFmtId="0" fontId="29" fillId="0" borderId="0" xfId="0" applyFont="1" applyAlignment="1">
      <alignment horizontal="right"/>
    </xf>
    <xf numFmtId="3" fontId="30" fillId="0" borderId="61" xfId="0" applyNumberFormat="1" applyFont="1" applyBorder="1" applyAlignment="1">
      <alignment vertical="center" wrapText="1" shrinkToFit="1"/>
    </xf>
    <xf numFmtId="3" fontId="31" fillId="0" borderId="0" xfId="0" applyNumberFormat="1" applyFont="1"/>
    <xf numFmtId="3" fontId="10" fillId="10" borderId="48" xfId="0" applyNumberFormat="1" applyFont="1" applyFill="1" applyBorder="1" applyAlignment="1">
      <alignment vertical="center" wrapText="1" shrinkToFit="1"/>
    </xf>
    <xf numFmtId="3" fontId="10" fillId="10" borderId="2" xfId="0" applyNumberFormat="1" applyFont="1" applyFill="1" applyBorder="1" applyAlignment="1">
      <alignment vertical="center" wrapText="1" shrinkToFit="1"/>
    </xf>
    <xf numFmtId="3" fontId="10" fillId="10" borderId="8" xfId="0" applyNumberFormat="1" applyFont="1" applyFill="1" applyBorder="1" applyAlignment="1">
      <alignment vertical="center" wrapText="1" shrinkToFit="1"/>
    </xf>
    <xf numFmtId="49" fontId="11" fillId="0" borderId="24" xfId="0" applyNumberFormat="1" applyFont="1" applyBorder="1" applyAlignment="1">
      <alignment horizontal="left" vertical="center" wrapText="1" shrinkToFit="1"/>
    </xf>
    <xf numFmtId="0" fontId="33" fillId="0" borderId="0" xfId="0" applyFont="1"/>
    <xf numFmtId="3" fontId="29" fillId="0" borderId="0" xfId="0" applyNumberFormat="1" applyFont="1"/>
    <xf numFmtId="3" fontId="10" fillId="10" borderId="48" xfId="0" applyNumberFormat="1" applyFont="1" applyFill="1" applyBorder="1"/>
    <xf numFmtId="3" fontId="10" fillId="10" borderId="2" xfId="0" applyNumberFormat="1" applyFont="1" applyFill="1" applyBorder="1"/>
    <xf numFmtId="3" fontId="10" fillId="10" borderId="53" xfId="0" applyNumberFormat="1" applyFont="1" applyFill="1" applyBorder="1" applyAlignment="1">
      <alignment vertical="center" wrapText="1" shrinkToFit="1"/>
    </xf>
    <xf numFmtId="49" fontId="10" fillId="10" borderId="51" xfId="0" applyNumberFormat="1" applyFont="1" applyFill="1" applyBorder="1" applyAlignment="1">
      <alignment horizontal="left" vertical="center" wrapText="1" shrinkToFit="1"/>
    </xf>
    <xf numFmtId="3" fontId="10" fillId="10" borderId="1" xfId="0" applyNumberFormat="1" applyFont="1" applyFill="1" applyBorder="1" applyAlignment="1">
      <alignment vertical="center" wrapText="1" shrinkToFit="1"/>
    </xf>
    <xf numFmtId="49" fontId="10" fillId="10" borderId="51" xfId="0" applyNumberFormat="1" applyFont="1" applyFill="1" applyBorder="1" applyAlignment="1">
      <alignment vertical="center" wrapText="1" shrinkToFit="1"/>
    </xf>
    <xf numFmtId="3" fontId="10" fillId="10" borderId="1" xfId="0" applyNumberFormat="1" applyFont="1" applyFill="1" applyBorder="1" applyAlignment="1">
      <alignment vertical="center"/>
    </xf>
    <xf numFmtId="49" fontId="10" fillId="10" borderId="47" xfId="0" applyNumberFormat="1" applyFont="1" applyFill="1" applyBorder="1" applyAlignment="1">
      <alignment vertical="center" wrapText="1" shrinkToFit="1"/>
    </xf>
    <xf numFmtId="3" fontId="17" fillId="9" borderId="2" xfId="0" applyNumberFormat="1" applyFont="1" applyFill="1" applyBorder="1"/>
    <xf numFmtId="3" fontId="17" fillId="2" borderId="0" xfId="0" applyNumberFormat="1" applyFont="1" applyFill="1"/>
    <xf numFmtId="0" fontId="21" fillId="6" borderId="37" xfId="0" applyFont="1" applyFill="1" applyBorder="1" applyAlignment="1">
      <alignment horizontal="center" vertical="center" wrapText="1" shrinkToFit="1"/>
    </xf>
    <xf numFmtId="0" fontId="22" fillId="0" borderId="44" xfId="0" applyFont="1" applyBorder="1" applyAlignment="1" applyProtection="1">
      <alignment vertical="center" wrapText="1"/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9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169" fontId="0" fillId="0" borderId="0" xfId="0" applyNumberFormat="1"/>
    <xf numFmtId="0" fontId="16" fillId="0" borderId="0" xfId="0" applyFont="1"/>
    <xf numFmtId="170" fontId="0" fillId="0" borderId="0" xfId="0" applyNumberFormat="1"/>
    <xf numFmtId="3" fontId="0" fillId="2" borderId="0" xfId="0" applyNumberFormat="1" applyFill="1"/>
    <xf numFmtId="0" fontId="22" fillId="0" borderId="67" xfId="0" applyFont="1" applyBorder="1" applyAlignment="1" applyProtection="1">
      <alignment vertical="center" wrapText="1"/>
      <protection locked="0"/>
    </xf>
    <xf numFmtId="169" fontId="22" fillId="2" borderId="0" xfId="0" applyNumberFormat="1" applyFont="1" applyFill="1" applyAlignment="1" applyProtection="1">
      <alignment horizontal="center" vertical="center" wrapText="1"/>
      <protection locked="0"/>
    </xf>
    <xf numFmtId="49" fontId="20" fillId="0" borderId="34" xfId="0" applyNumberFormat="1" applyFont="1" applyBorder="1" applyAlignment="1">
      <alignment horizontal="left" vertical="center" wrapText="1" shrinkToFit="1"/>
    </xf>
    <xf numFmtId="0" fontId="20" fillId="0" borderId="35" xfId="0" applyFont="1" applyBorder="1" applyAlignment="1">
      <alignment horizontal="left" vertical="center" wrapText="1" shrinkToFit="1"/>
    </xf>
    <xf numFmtId="3" fontId="20" fillId="0" borderId="35" xfId="0" applyNumberFormat="1" applyFont="1" applyBorder="1" applyAlignment="1">
      <alignment horizontal="right" vertical="center" wrapText="1" shrinkToFit="1"/>
    </xf>
    <xf numFmtId="3" fontId="20" fillId="0" borderId="17" xfId="0" applyNumberFormat="1" applyFont="1" applyBorder="1" applyAlignment="1">
      <alignment horizontal="right" vertical="center" wrapText="1" shrinkToFit="1"/>
    </xf>
    <xf numFmtId="3" fontId="20" fillId="0" borderId="17" xfId="2" applyNumberFormat="1" applyFont="1" applyBorder="1" applyAlignment="1" applyProtection="1">
      <alignment vertical="center"/>
    </xf>
    <xf numFmtId="0" fontId="16" fillId="2" borderId="0" xfId="0" applyFont="1" applyFill="1"/>
    <xf numFmtId="3" fontId="18" fillId="11" borderId="48" xfId="0" applyNumberFormat="1" applyFont="1" applyFill="1" applyBorder="1" applyAlignment="1" applyProtection="1">
      <alignment vertical="center" wrapText="1"/>
      <protection locked="0"/>
    </xf>
    <xf numFmtId="3" fontId="18" fillId="11" borderId="2" xfId="0" applyNumberFormat="1" applyFont="1" applyFill="1" applyBorder="1" applyAlignment="1" applyProtection="1">
      <alignment vertical="center" wrapText="1"/>
      <protection locked="0"/>
    </xf>
    <xf numFmtId="3" fontId="20" fillId="0" borderId="12" xfId="2" applyNumberFormat="1" applyFont="1" applyBorder="1" applyProtection="1"/>
    <xf numFmtId="3" fontId="20" fillId="0" borderId="17" xfId="2" applyNumberFormat="1" applyFont="1" applyBorder="1" applyProtection="1"/>
    <xf numFmtId="3" fontId="16" fillId="0" borderId="12" xfId="2" applyNumberFormat="1" applyBorder="1" applyProtection="1"/>
    <xf numFmtId="3" fontId="21" fillId="0" borderId="2" xfId="2" applyNumberFormat="1" applyFont="1" applyBorder="1" applyProtection="1"/>
    <xf numFmtId="3" fontId="34" fillId="0" borderId="0" xfId="0" applyNumberFormat="1" applyFont="1"/>
    <xf numFmtId="0" fontId="34" fillId="0" borderId="0" xfId="0" applyFont="1"/>
    <xf numFmtId="49" fontId="22" fillId="0" borderId="30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/>
    <xf numFmtId="3" fontId="22" fillId="0" borderId="43" xfId="0" applyNumberFormat="1" applyFont="1" applyBorder="1" applyAlignment="1" applyProtection="1">
      <alignment vertical="center" wrapText="1"/>
      <protection locked="0"/>
    </xf>
    <xf numFmtId="0" fontId="22" fillId="0" borderId="36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right"/>
    </xf>
    <xf numFmtId="3" fontId="40" fillId="0" borderId="0" xfId="1" applyNumberFormat="1" applyBorder="1">
      <protection locked="0"/>
    </xf>
    <xf numFmtId="0" fontId="17" fillId="2" borderId="0" xfId="0" applyFont="1" applyFill="1"/>
    <xf numFmtId="3" fontId="17" fillId="2" borderId="0" xfId="1" applyNumberFormat="1" applyFont="1" applyFill="1" applyBorder="1">
      <protection locked="0"/>
    </xf>
    <xf numFmtId="3" fontId="22" fillId="2" borderId="35" xfId="0" applyNumberFormat="1" applyFont="1" applyFill="1" applyBorder="1" applyAlignment="1" applyProtection="1">
      <alignment vertical="center" wrapText="1"/>
      <protection locked="0"/>
    </xf>
    <xf numFmtId="3" fontId="22" fillId="2" borderId="17" xfId="0" applyNumberFormat="1" applyFont="1" applyFill="1" applyBorder="1" applyAlignment="1" applyProtection="1">
      <alignment vertical="center" wrapText="1"/>
      <protection locked="0"/>
    </xf>
    <xf numFmtId="3" fontId="18" fillId="2" borderId="8" xfId="0" applyNumberFormat="1" applyFont="1" applyFill="1" applyBorder="1" applyAlignment="1" applyProtection="1">
      <alignment vertical="center" wrapText="1"/>
      <protection locked="0"/>
    </xf>
    <xf numFmtId="3" fontId="18" fillId="2" borderId="2" xfId="0" applyNumberFormat="1" applyFont="1" applyFill="1" applyBorder="1" applyAlignment="1" applyProtection="1">
      <alignment vertical="center" wrapText="1"/>
      <protection locked="0"/>
    </xf>
    <xf numFmtId="3" fontId="18" fillId="2" borderId="48" xfId="0" applyNumberFormat="1" applyFont="1" applyFill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3" fontId="20" fillId="0" borderId="21" xfId="0" applyNumberFormat="1" applyFont="1" applyBorder="1" applyAlignment="1">
      <alignment horizontal="right" vertical="center" wrapText="1" shrinkToFit="1"/>
    </xf>
    <xf numFmtId="3" fontId="22" fillId="0" borderId="21" xfId="0" applyNumberFormat="1" applyFont="1" applyBorder="1" applyAlignment="1" applyProtection="1">
      <alignment vertical="center" wrapText="1"/>
      <protection locked="0"/>
    </xf>
    <xf numFmtId="169" fontId="22" fillId="0" borderId="0" xfId="0" applyNumberFormat="1" applyFont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7" fillId="9" borderId="4" xfId="0" applyFont="1" applyFill="1" applyBorder="1" applyAlignment="1">
      <alignment horizontal="left"/>
    </xf>
    <xf numFmtId="0" fontId="21" fillId="12" borderId="38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/>
    </xf>
    <xf numFmtId="3" fontId="20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horizontal="center" vertical="center" wrapText="1"/>
      <protection locked="0"/>
    </xf>
    <xf numFmtId="3" fontId="22" fillId="0" borderId="14" xfId="0" applyNumberFormat="1" applyFont="1" applyBorder="1" applyAlignment="1" applyProtection="1">
      <alignment vertical="center" wrapText="1"/>
      <protection locked="0"/>
    </xf>
    <xf numFmtId="3" fontId="18" fillId="4" borderId="14" xfId="0" applyNumberFormat="1" applyFont="1" applyFill="1" applyBorder="1" applyAlignment="1" applyProtection="1">
      <alignment vertical="center" wrapText="1"/>
      <protection locked="0"/>
    </xf>
    <xf numFmtId="0" fontId="22" fillId="0" borderId="59" xfId="0" applyFont="1" applyBorder="1" applyAlignment="1" applyProtection="1">
      <alignment vertical="center" wrapText="1"/>
      <protection locked="0"/>
    </xf>
    <xf numFmtId="3" fontId="22" fillId="4" borderId="30" xfId="0" applyNumberFormat="1" applyFont="1" applyFill="1" applyBorder="1" applyAlignment="1" applyProtection="1">
      <alignment vertical="center" wrapText="1"/>
      <protection locked="0"/>
    </xf>
    <xf numFmtId="171" fontId="22" fillId="0" borderId="30" xfId="0" applyNumberFormat="1" applyFont="1" applyBorder="1" applyAlignment="1" applyProtection="1">
      <alignment horizontal="center" vertical="center" wrapText="1"/>
      <protection locked="0"/>
    </xf>
    <xf numFmtId="9" fontId="20" fillId="0" borderId="30" xfId="0" applyNumberFormat="1" applyFont="1" applyBorder="1" applyAlignment="1">
      <alignment horizontal="center" vertical="center" wrapText="1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4" borderId="64" xfId="0" applyFont="1" applyFill="1" applyBorder="1" applyAlignment="1" applyProtection="1">
      <alignment vertical="center" wrapText="1"/>
      <protection locked="0"/>
    </xf>
    <xf numFmtId="9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30" xfId="0" applyNumberFormat="1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4" fillId="0" borderId="64" xfId="0" applyFont="1" applyBorder="1" applyAlignment="1" applyProtection="1">
      <alignment vertical="center" wrapText="1"/>
      <protection locked="0"/>
    </xf>
    <xf numFmtId="3" fontId="22" fillId="0" borderId="64" xfId="0" applyNumberFormat="1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3" fontId="25" fillId="0" borderId="0" xfId="0" applyNumberFormat="1" applyFont="1"/>
    <xf numFmtId="0" fontId="29" fillId="0" borderId="0" xfId="0" applyFont="1"/>
    <xf numFmtId="3" fontId="18" fillId="4" borderId="8" xfId="0" applyNumberFormat="1" applyFont="1" applyFill="1" applyBorder="1" applyAlignment="1" applyProtection="1">
      <alignment vertical="center" wrapText="1"/>
      <protection locked="0"/>
    </xf>
    <xf numFmtId="3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35" xfId="0" applyNumberFormat="1" applyFont="1" applyBorder="1" applyAlignment="1" applyProtection="1">
      <alignment horizontal="center" vertical="center" wrapText="1"/>
      <protection locked="0"/>
    </xf>
    <xf numFmtId="3" fontId="18" fillId="4" borderId="21" xfId="0" applyNumberFormat="1" applyFont="1" applyFill="1" applyBorder="1" applyAlignment="1" applyProtection="1">
      <alignment vertical="center" wrapText="1"/>
      <protection locked="0"/>
    </xf>
    <xf numFmtId="3" fontId="36" fillId="0" borderId="0" xfId="0" applyNumberFormat="1" applyFont="1"/>
    <xf numFmtId="9" fontId="22" fillId="4" borderId="35" xfId="0" applyNumberFormat="1" applyFont="1" applyFill="1" applyBorder="1" applyAlignment="1" applyProtection="1">
      <alignment horizontal="center" vertical="center" wrapText="1"/>
      <protection locked="0"/>
    </xf>
    <xf numFmtId="3" fontId="18" fillId="13" borderId="2" xfId="0" applyNumberFormat="1" applyFont="1" applyFill="1" applyBorder="1" applyAlignment="1" applyProtection="1">
      <alignment vertical="center" wrapText="1"/>
      <protection locked="0"/>
    </xf>
    <xf numFmtId="3" fontId="37" fillId="0" borderId="0" xfId="0" applyNumberFormat="1" applyFont="1"/>
    <xf numFmtId="3" fontId="22" fillId="0" borderId="28" xfId="0" applyNumberFormat="1" applyFont="1" applyBorder="1" applyAlignment="1" applyProtection="1">
      <alignment vertical="center" wrapText="1"/>
      <protection locked="0"/>
    </xf>
    <xf numFmtId="0" fontId="22" fillId="0" borderId="51" xfId="0" applyFont="1" applyBorder="1" applyAlignment="1" applyProtection="1">
      <alignment vertical="center" wrapText="1"/>
      <protection locked="0"/>
    </xf>
    <xf numFmtId="0" fontId="26" fillId="2" borderId="0" xfId="0" applyFont="1" applyFill="1"/>
    <xf numFmtId="171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14" xfId="2" applyNumberFormat="1" applyFont="1" applyBorder="1" applyProtection="1"/>
    <xf numFmtId="3" fontId="22" fillId="0" borderId="35" xfId="0" applyNumberFormat="1" applyFont="1" applyBorder="1" applyAlignment="1" applyProtection="1">
      <alignment horizontal="center" vertical="center" wrapText="1"/>
      <protection locked="0"/>
    </xf>
    <xf numFmtId="3" fontId="20" fillId="0" borderId="21" xfId="2" applyNumberFormat="1" applyFont="1" applyBorder="1" applyProtection="1"/>
    <xf numFmtId="3" fontId="38" fillId="0" borderId="14" xfId="2" applyNumberFormat="1" applyFont="1" applyBorder="1" applyProtection="1"/>
    <xf numFmtId="3" fontId="21" fillId="13" borderId="2" xfId="2" applyNumberFormat="1" applyFont="1" applyFill="1" applyBorder="1" applyProtection="1"/>
    <xf numFmtId="0" fontId="25" fillId="0" borderId="0" xfId="0" applyFont="1"/>
    <xf numFmtId="3" fontId="24" fillId="4" borderId="30" xfId="0" applyNumberFormat="1" applyFont="1" applyFill="1" applyBorder="1" applyAlignment="1" applyProtection="1">
      <alignment vertical="center" wrapText="1"/>
      <protection locked="0"/>
    </xf>
    <xf numFmtId="0" fontId="22" fillId="4" borderId="37" xfId="0" applyFont="1" applyFill="1" applyBorder="1" applyAlignment="1" applyProtection="1">
      <alignment vertical="center" wrapText="1"/>
      <protection locked="0"/>
    </xf>
    <xf numFmtId="3" fontId="22" fillId="4" borderId="37" xfId="0" applyNumberFormat="1" applyFont="1" applyFill="1" applyBorder="1" applyAlignment="1" applyProtection="1">
      <alignment vertical="center" wrapText="1"/>
      <protection locked="0"/>
    </xf>
    <xf numFmtId="9" fontId="22" fillId="4" borderId="37" xfId="0" applyNumberFormat="1" applyFont="1" applyFill="1" applyBorder="1" applyAlignment="1" applyProtection="1">
      <alignment horizontal="center" vertical="center" wrapText="1"/>
      <protection locked="0"/>
    </xf>
    <xf numFmtId="3" fontId="18" fillId="4" borderId="38" xfId="0" applyNumberFormat="1" applyFont="1" applyFill="1" applyBorder="1" applyAlignment="1" applyProtection="1">
      <alignment vertical="center" wrapText="1"/>
      <protection locked="0"/>
    </xf>
    <xf numFmtId="3" fontId="22" fillId="2" borderId="14" xfId="0" applyNumberFormat="1" applyFont="1" applyFill="1" applyBorder="1" applyAlignment="1" applyProtection="1">
      <alignment vertical="center" wrapText="1"/>
      <protection locked="0"/>
    </xf>
    <xf numFmtId="171" fontId="22" fillId="0" borderId="30" xfId="0" applyNumberFormat="1" applyFont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0" fontId="37" fillId="0" borderId="0" xfId="0" applyFont="1"/>
    <xf numFmtId="49" fontId="22" fillId="0" borderId="54" xfId="0" applyNumberFormat="1" applyFont="1" applyBorder="1" applyAlignment="1" applyProtection="1">
      <alignment vertical="center" wrapText="1"/>
      <protection locked="0"/>
    </xf>
    <xf numFmtId="49" fontId="20" fillId="2" borderId="59" xfId="0" applyNumberFormat="1" applyFont="1" applyFill="1" applyBorder="1" applyAlignment="1">
      <alignment horizontal="left" vertical="center" wrapText="1" shrinkToFit="1"/>
    </xf>
    <xf numFmtId="0" fontId="39" fillId="0" borderId="0" xfId="0" applyFont="1"/>
    <xf numFmtId="0" fontId="39" fillId="2" borderId="0" xfId="0" applyFont="1" applyFill="1"/>
    <xf numFmtId="0" fontId="20" fillId="0" borderId="35" xfId="0" applyFont="1" applyBorder="1" applyAlignment="1">
      <alignment vertical="center" wrapText="1" shrinkToFit="1"/>
    </xf>
    <xf numFmtId="0" fontId="21" fillId="0" borderId="30" xfId="0" applyFont="1" applyBorder="1" applyAlignment="1">
      <alignment horizontal="center" vertical="center" wrapText="1" shrinkToFit="1"/>
    </xf>
    <xf numFmtId="3" fontId="21" fillId="0" borderId="21" xfId="0" applyNumberFormat="1" applyFont="1" applyBorder="1" applyAlignment="1">
      <alignment horizontal="right" vertical="center" wrapText="1" shrinkToFit="1"/>
    </xf>
    <xf numFmtId="0" fontId="26" fillId="0" borderId="0" xfId="0" applyFont="1" applyAlignment="1">
      <alignment horizontal="left"/>
    </xf>
    <xf numFmtId="3" fontId="22" fillId="0" borderId="0" xfId="0" applyNumberFormat="1" applyFont="1" applyAlignment="1" applyProtection="1">
      <alignment vertical="center" wrapText="1"/>
      <protection locked="0"/>
    </xf>
    <xf numFmtId="3" fontId="24" fillId="0" borderId="20" xfId="0" applyNumberFormat="1" applyFont="1" applyBorder="1" applyAlignment="1" applyProtection="1">
      <alignment vertical="center" wrapText="1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3" fontId="24" fillId="0" borderId="21" xfId="0" applyNumberFormat="1" applyFont="1" applyBorder="1" applyAlignment="1" applyProtection="1">
      <alignment vertical="center" wrapText="1"/>
      <protection locked="0"/>
    </xf>
    <xf numFmtId="0" fontId="18" fillId="4" borderId="52" xfId="0" applyFont="1" applyFill="1" applyBorder="1" applyAlignment="1" applyProtection="1">
      <alignment vertical="center" wrapText="1"/>
      <protection locked="0"/>
    </xf>
    <xf numFmtId="3" fontId="22" fillId="4" borderId="52" xfId="0" applyNumberFormat="1" applyFont="1" applyFill="1" applyBorder="1" applyAlignment="1" applyProtection="1">
      <alignment vertical="center" wrapText="1"/>
      <protection locked="0"/>
    </xf>
    <xf numFmtId="3" fontId="18" fillId="4" borderId="70" xfId="0" applyNumberFormat="1" applyFont="1" applyFill="1" applyBorder="1" applyAlignment="1" applyProtection="1">
      <alignment vertical="center" wrapText="1"/>
      <protection locked="0"/>
    </xf>
    <xf numFmtId="49" fontId="20" fillId="2" borderId="34" xfId="0" applyNumberFormat="1" applyFont="1" applyFill="1" applyBorder="1" applyAlignment="1">
      <alignment vertical="center" wrapText="1"/>
    </xf>
    <xf numFmtId="3" fontId="24" fillId="0" borderId="35" xfId="0" applyNumberFormat="1" applyFont="1" applyBorder="1" applyAlignment="1" applyProtection="1">
      <alignment vertical="center" wrapText="1"/>
      <protection locked="0"/>
    </xf>
    <xf numFmtId="49" fontId="20" fillId="2" borderId="29" xfId="0" applyNumberFormat="1" applyFont="1" applyFill="1" applyBorder="1" applyAlignment="1">
      <alignment vertical="center" wrapText="1"/>
    </xf>
    <xf numFmtId="3" fontId="22" fillId="0" borderId="37" xfId="0" applyNumberFormat="1" applyFont="1" applyBorder="1" applyAlignment="1" applyProtection="1">
      <alignment horizontal="center" vertical="center" wrapText="1"/>
      <protection locked="0"/>
    </xf>
    <xf numFmtId="3" fontId="17" fillId="12" borderId="2" xfId="0" applyNumberFormat="1" applyFont="1" applyFill="1" applyBorder="1"/>
    <xf numFmtId="165" fontId="40" fillId="0" borderId="29" xfId="1" applyNumberFormat="1" applyBorder="1">
      <protection locked="0"/>
    </xf>
    <xf numFmtId="165" fontId="40" fillId="0" borderId="64" xfId="1" applyNumberFormat="1" applyBorder="1">
      <protection locked="0"/>
    </xf>
    <xf numFmtId="165" fontId="40" fillId="0" borderId="41" xfId="1" applyNumberFormat="1" applyBorder="1">
      <protection locked="0"/>
    </xf>
    <xf numFmtId="165" fontId="40" fillId="0" borderId="34" xfId="1" applyNumberFormat="1" applyBorder="1">
      <protection locked="0"/>
    </xf>
    <xf numFmtId="165" fontId="40" fillId="0" borderId="67" xfId="1" applyNumberFormat="1" applyBorder="1">
      <protection locked="0"/>
    </xf>
    <xf numFmtId="165" fontId="40" fillId="0" borderId="50" xfId="1" applyNumberFormat="1" applyBorder="1">
      <protection locked="0"/>
    </xf>
    <xf numFmtId="3" fontId="16" fillId="0" borderId="0" xfId="1" applyNumberFormat="1" applyFont="1" applyBorder="1" applyAlignment="1">
      <alignment vertical="center" readingOrder="1"/>
      <protection locked="0"/>
    </xf>
    <xf numFmtId="3" fontId="18" fillId="0" borderId="14" xfId="0" applyNumberFormat="1" applyFont="1" applyBorder="1" applyAlignment="1" applyProtection="1">
      <alignment vertical="center" wrapText="1"/>
      <protection locked="0"/>
    </xf>
    <xf numFmtId="9" fontId="22" fillId="0" borderId="45" xfId="0" applyNumberFormat="1" applyFont="1" applyBorder="1" applyAlignment="1" applyProtection="1">
      <alignment horizontal="center" vertical="center" wrapText="1"/>
      <protection locked="0"/>
    </xf>
    <xf numFmtId="3" fontId="18" fillId="17" borderId="14" xfId="0" applyNumberFormat="1" applyFont="1" applyFill="1" applyBorder="1" applyAlignment="1" applyProtection="1">
      <alignment vertical="center" wrapText="1"/>
      <protection locked="0"/>
    </xf>
    <xf numFmtId="0" fontId="7" fillId="18" borderId="0" xfId="0" applyFont="1" applyFill="1"/>
    <xf numFmtId="3" fontId="7" fillId="16" borderId="0" xfId="0" applyNumberFormat="1" applyFont="1" applyFill="1"/>
    <xf numFmtId="0" fontId="7" fillId="16" borderId="0" xfId="0" applyFont="1" applyFill="1"/>
    <xf numFmtId="9" fontId="2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20" fillId="0" borderId="35" xfId="0" applyFont="1" applyBorder="1" applyAlignment="1">
      <alignment horizontal="right" vertical="center" wrapText="1" shrinkToFit="1"/>
    </xf>
    <xf numFmtId="165" fontId="1" fillId="0" borderId="0" xfId="0" applyNumberFormat="1" applyFont="1"/>
    <xf numFmtId="3" fontId="7" fillId="0" borderId="0" xfId="0" applyNumberFormat="1" applyFont="1"/>
    <xf numFmtId="49" fontId="20" fillId="2" borderId="36" xfId="0" applyNumberFormat="1" applyFont="1" applyFill="1" applyBorder="1" applyAlignment="1">
      <alignment vertical="center" wrapText="1"/>
    </xf>
    <xf numFmtId="49" fontId="42" fillId="3" borderId="29" xfId="0" applyNumberFormat="1" applyFont="1" applyFill="1" applyBorder="1" applyAlignment="1">
      <alignment horizontal="center"/>
    </xf>
    <xf numFmtId="3" fontId="20" fillId="0" borderId="30" xfId="1" applyNumberFormat="1" applyFont="1" applyBorder="1">
      <protection locked="0"/>
    </xf>
    <xf numFmtId="3" fontId="20" fillId="0" borderId="12" xfId="1" applyNumberFormat="1" applyFont="1" applyBorder="1">
      <protection locked="0"/>
    </xf>
    <xf numFmtId="0" fontId="22" fillId="4" borderId="41" xfId="0" applyFont="1" applyFill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3" fontId="22" fillId="17" borderId="30" xfId="0" applyNumberFormat="1" applyFont="1" applyFill="1" applyBorder="1" applyAlignment="1" applyProtection="1">
      <alignment vertical="center" wrapText="1"/>
      <protection locked="0"/>
    </xf>
    <xf numFmtId="49" fontId="12" fillId="5" borderId="54" xfId="0" applyNumberFormat="1" applyFont="1" applyFill="1" applyBorder="1" applyAlignment="1">
      <alignment vertical="center" wrapText="1" shrinkToFit="1"/>
    </xf>
    <xf numFmtId="49" fontId="12" fillId="5" borderId="74" xfId="0" applyNumberFormat="1" applyFont="1" applyFill="1" applyBorder="1" applyAlignment="1">
      <alignment vertical="center" wrapText="1" shrinkToFit="1"/>
    </xf>
    <xf numFmtId="3" fontId="12" fillId="3" borderId="39" xfId="0" applyNumberFormat="1" applyFont="1" applyFill="1" applyBorder="1" applyAlignment="1">
      <alignment vertical="center" wrapText="1" shrinkToFit="1"/>
    </xf>
    <xf numFmtId="0" fontId="43" fillId="0" borderId="0" xfId="0" applyFont="1"/>
    <xf numFmtId="0" fontId="44" fillId="0" borderId="0" xfId="0" applyFont="1"/>
    <xf numFmtId="168" fontId="44" fillId="0" borderId="0" xfId="2" applyNumberFormat="1" applyFont="1" applyBorder="1" applyProtection="1"/>
    <xf numFmtId="167" fontId="44" fillId="0" borderId="0" xfId="2" applyNumberFormat="1" applyFont="1" applyBorder="1" applyProtection="1"/>
    <xf numFmtId="0" fontId="45" fillId="0" borderId="0" xfId="0" applyFont="1"/>
    <xf numFmtId="0" fontId="5" fillId="0" borderId="0" xfId="0" applyFont="1" applyAlignment="1">
      <alignment horizontal="right"/>
    </xf>
    <xf numFmtId="9" fontId="40" fillId="0" borderId="13" xfId="1" applyNumberFormat="1" applyBorder="1" applyAlignment="1">
      <alignment horizontal="center"/>
      <protection locked="0"/>
    </xf>
    <xf numFmtId="9" fontId="40" fillId="0" borderId="27" xfId="1" applyNumberFormat="1" applyBorder="1" applyAlignment="1">
      <alignment horizontal="center"/>
      <protection locked="0"/>
    </xf>
    <xf numFmtId="0" fontId="8" fillId="19" borderId="37" xfId="0" applyFont="1" applyFill="1" applyBorder="1" applyAlignment="1">
      <alignment horizontal="center" vertical="center" wrapText="1" shrinkToFit="1"/>
    </xf>
    <xf numFmtId="3" fontId="11" fillId="0" borderId="25" xfId="0" applyNumberFormat="1" applyFont="1" applyBorder="1" applyAlignment="1">
      <alignment vertical="center" wrapText="1" shrinkToFit="1"/>
    </xf>
    <xf numFmtId="3" fontId="11" fillId="0" borderId="30" xfId="0" applyNumberFormat="1" applyFont="1" applyBorder="1" applyAlignment="1">
      <alignment vertical="center" wrapText="1" shrinkToFit="1"/>
    </xf>
    <xf numFmtId="3" fontId="11" fillId="0" borderId="45" xfId="0" applyNumberFormat="1" applyFont="1" applyBorder="1" applyAlignment="1">
      <alignment vertical="center" wrapText="1" shrinkToFit="1"/>
    </xf>
    <xf numFmtId="0" fontId="46" fillId="2" borderId="0" xfId="0" applyFont="1" applyFill="1" applyAlignment="1">
      <alignment horizontal="right"/>
    </xf>
    <xf numFmtId="165" fontId="40" fillId="0" borderId="71" xfId="1" applyNumberFormat="1" applyBorder="1">
      <protection locked="0"/>
    </xf>
    <xf numFmtId="0" fontId="1" fillId="3" borderId="58" xfId="0" applyFont="1" applyFill="1" applyBorder="1"/>
    <xf numFmtId="0" fontId="1" fillId="3" borderId="41" xfId="0" applyFont="1" applyFill="1" applyBorder="1"/>
    <xf numFmtId="0" fontId="1" fillId="3" borderId="50" xfId="0" applyFont="1" applyFill="1" applyBorder="1"/>
    <xf numFmtId="0" fontId="1" fillId="3" borderId="42" xfId="0" applyFont="1" applyFill="1" applyBorder="1"/>
    <xf numFmtId="165" fontId="40" fillId="0" borderId="15" xfId="1" applyNumberFormat="1" applyBorder="1">
      <protection locked="0"/>
    </xf>
    <xf numFmtId="165" fontId="40" fillId="0" borderId="18" xfId="1" applyNumberFormat="1" applyBorder="1">
      <protection locked="0"/>
    </xf>
    <xf numFmtId="165" fontId="40" fillId="0" borderId="69" xfId="1" applyNumberFormat="1" applyBorder="1">
      <protection locked="0"/>
    </xf>
    <xf numFmtId="3" fontId="22" fillId="0" borderId="45" xfId="0" applyNumberFormat="1" applyFont="1" applyBorder="1" applyAlignment="1" applyProtection="1">
      <alignment horizontal="center" vertical="center" wrapText="1"/>
      <protection locked="0"/>
    </xf>
    <xf numFmtId="3" fontId="18" fillId="0" borderId="48" xfId="0" applyNumberFormat="1" applyFont="1" applyBorder="1" applyAlignment="1" applyProtection="1">
      <alignment horizontal="center" vertical="center" wrapText="1"/>
      <protection locked="0"/>
    </xf>
    <xf numFmtId="3" fontId="20" fillId="0" borderId="35" xfId="0" applyNumberFormat="1" applyFont="1" applyBorder="1" applyAlignment="1">
      <alignment horizontal="center" vertical="center" wrapText="1" shrinkToFit="1"/>
    </xf>
    <xf numFmtId="3" fontId="22" fillId="0" borderId="14" xfId="0" applyNumberFormat="1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Border="1" applyAlignment="1" applyProtection="1">
      <alignment horizontal="center" vertical="center" wrapText="1"/>
      <protection locked="0"/>
    </xf>
    <xf numFmtId="3" fontId="1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7" fillId="9" borderId="2" xfId="0" applyNumberFormat="1" applyFont="1" applyFill="1" applyBorder="1" applyAlignment="1">
      <alignment horizontal="center"/>
    </xf>
    <xf numFmtId="3" fontId="9" fillId="0" borderId="45" xfId="0" applyNumberFormat="1" applyFont="1" applyBorder="1" applyAlignment="1">
      <alignment horizontal="center" vertical="center" wrapText="1" shrinkToFit="1"/>
    </xf>
    <xf numFmtId="3" fontId="22" fillId="0" borderId="45" xfId="0" applyNumberFormat="1" applyFont="1" applyBorder="1" applyAlignment="1" applyProtection="1">
      <alignment horizontal="center" wrapText="1"/>
      <protection locked="0"/>
    </xf>
    <xf numFmtId="3" fontId="20" fillId="0" borderId="45" xfId="1" applyNumberFormat="1" applyFont="1" applyBorder="1" applyAlignment="1">
      <alignment horizontal="center"/>
      <protection locked="0"/>
    </xf>
    <xf numFmtId="3" fontId="25" fillId="0" borderId="45" xfId="1" applyNumberFormat="1" applyFont="1" applyBorder="1" applyAlignment="1">
      <alignment horizontal="center"/>
      <protection locked="0"/>
    </xf>
    <xf numFmtId="3" fontId="22" fillId="4" borderId="41" xfId="0" applyNumberFormat="1" applyFont="1" applyFill="1" applyBorder="1" applyAlignment="1" applyProtection="1">
      <alignment vertical="center" wrapText="1"/>
      <protection locked="0"/>
    </xf>
    <xf numFmtId="3" fontId="20" fillId="2" borderId="35" xfId="0" applyNumberFormat="1" applyFont="1" applyFill="1" applyBorder="1" applyAlignment="1" applyProtection="1">
      <alignment horizontal="center" vertical="center" wrapText="1"/>
      <protection locked="0"/>
    </xf>
    <xf numFmtId="3" fontId="10" fillId="5" borderId="49" xfId="0" applyNumberFormat="1" applyFont="1" applyFill="1" applyBorder="1" applyAlignment="1">
      <alignment horizontal="center" vertical="center" wrapText="1" shrinkToFit="1"/>
    </xf>
    <xf numFmtId="3" fontId="10" fillId="5" borderId="48" xfId="0" applyNumberFormat="1" applyFont="1" applyFill="1" applyBorder="1" applyAlignment="1">
      <alignment horizontal="center" vertical="center" wrapText="1" shrinkToFit="1"/>
    </xf>
    <xf numFmtId="3" fontId="12" fillId="5" borderId="48" xfId="0" applyNumberFormat="1" applyFont="1" applyFill="1" applyBorder="1" applyAlignment="1">
      <alignment horizontal="center" vertical="center" wrapText="1" shrinkToFit="1"/>
    </xf>
    <xf numFmtId="0" fontId="22" fillId="4" borderId="30" xfId="0" applyFont="1" applyFill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4" borderId="35" xfId="0" applyFont="1" applyFill="1" applyBorder="1" applyAlignment="1" applyProtection="1">
      <alignment vertical="center" wrapText="1"/>
      <protection locked="0"/>
    </xf>
    <xf numFmtId="3" fontId="22" fillId="4" borderId="35" xfId="0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 applyProtection="1">
      <alignment vertical="center" wrapText="1"/>
      <protection locked="0"/>
    </xf>
    <xf numFmtId="172" fontId="22" fillId="0" borderId="30" xfId="0" applyNumberFormat="1" applyFont="1" applyBorder="1" applyAlignment="1" applyProtection="1">
      <alignment horizontal="center" vertical="center" wrapText="1"/>
      <protection locked="0"/>
    </xf>
    <xf numFmtId="3" fontId="18" fillId="0" borderId="52" xfId="0" applyNumberFormat="1" applyFont="1" applyBorder="1" applyAlignment="1" applyProtection="1">
      <alignment vertical="center" wrapText="1"/>
      <protection locked="0"/>
    </xf>
    <xf numFmtId="3" fontId="18" fillId="0" borderId="52" xfId="0" applyNumberFormat="1" applyFont="1" applyBorder="1" applyAlignment="1" applyProtection="1">
      <alignment horizontal="center" vertical="center" wrapText="1"/>
      <protection locked="0"/>
    </xf>
    <xf numFmtId="3" fontId="18" fillId="0" borderId="1" xfId="0" applyNumberFormat="1" applyFont="1" applyBorder="1" applyAlignment="1" applyProtection="1">
      <alignment vertical="center" wrapText="1"/>
      <protection locked="0"/>
    </xf>
    <xf numFmtId="3" fontId="18" fillId="13" borderId="1" xfId="0" applyNumberFormat="1" applyFont="1" applyFill="1" applyBorder="1" applyAlignment="1" applyProtection="1">
      <alignment vertical="center" wrapText="1"/>
      <protection locked="0"/>
    </xf>
    <xf numFmtId="0" fontId="21" fillId="0" borderId="60" xfId="0" applyFont="1" applyBorder="1" applyAlignment="1">
      <alignment horizontal="center" vertical="center" wrapText="1" shrinkToFit="1"/>
    </xf>
    <xf numFmtId="3" fontId="20" fillId="0" borderId="60" xfId="0" applyNumberFormat="1" applyFont="1" applyBorder="1" applyAlignment="1">
      <alignment horizontal="right" vertical="center" wrapText="1" shrinkToFit="1"/>
    </xf>
    <xf numFmtId="3" fontId="18" fillId="0" borderId="21" xfId="0" applyNumberFormat="1" applyFont="1" applyBorder="1" applyAlignment="1" applyProtection="1">
      <alignment vertical="center" wrapText="1"/>
      <protection locked="0"/>
    </xf>
    <xf numFmtId="3" fontId="21" fillId="0" borderId="33" xfId="0" applyNumberFormat="1" applyFont="1" applyBorder="1" applyAlignment="1">
      <alignment horizontal="right" vertical="center" wrapText="1" shrinkToFit="1"/>
    </xf>
    <xf numFmtId="0" fontId="22" fillId="0" borderId="66" xfId="0" applyFont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horizontal="center" vertical="center" wrapText="1"/>
      <protection locked="0"/>
    </xf>
    <xf numFmtId="3" fontId="18" fillId="0" borderId="53" xfId="0" applyNumberFormat="1" applyFont="1" applyBorder="1" applyAlignment="1" applyProtection="1">
      <alignment horizontal="center" vertical="center" wrapText="1"/>
      <protection locked="0"/>
    </xf>
    <xf numFmtId="3" fontId="20" fillId="0" borderId="1" xfId="0" applyNumberFormat="1" applyFont="1" applyBorder="1" applyAlignment="1">
      <alignment horizontal="right" vertical="center" wrapText="1" shrinkToFit="1"/>
    </xf>
    <xf numFmtId="0" fontId="7" fillId="17" borderId="0" xfId="0" applyFont="1" applyFill="1"/>
    <xf numFmtId="0" fontId="0" fillId="17" borderId="0" xfId="0" applyFill="1"/>
    <xf numFmtId="6" fontId="7" fillId="17" borderId="0" xfId="0" applyNumberFormat="1" applyFont="1" applyFill="1"/>
    <xf numFmtId="9" fontId="22" fillId="4" borderId="41" xfId="0" applyNumberFormat="1" applyFont="1" applyFill="1" applyBorder="1" applyAlignment="1" applyProtection="1">
      <alignment horizontal="center" vertical="center" wrapText="1"/>
      <protection locked="0"/>
    </xf>
    <xf numFmtId="3" fontId="18" fillId="13" borderId="39" xfId="0" applyNumberFormat="1" applyFont="1" applyFill="1" applyBorder="1" applyAlignment="1" applyProtection="1">
      <alignment vertical="center" wrapText="1"/>
      <protection locked="0"/>
    </xf>
    <xf numFmtId="3" fontId="22" fillId="2" borderId="45" xfId="0" applyNumberFormat="1" applyFont="1" applyFill="1" applyBorder="1" applyAlignment="1" applyProtection="1">
      <alignment vertical="center" wrapText="1"/>
      <protection locked="0"/>
    </xf>
    <xf numFmtId="3" fontId="22" fillId="2" borderId="9" xfId="0" applyNumberFormat="1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horizontal="right" vertical="center" wrapText="1"/>
      <protection locked="0"/>
    </xf>
    <xf numFmtId="3" fontId="22" fillId="0" borderId="64" xfId="0" applyNumberFormat="1" applyFont="1" applyBorder="1" applyAlignment="1" applyProtection="1">
      <alignment horizontal="center" vertical="center" wrapText="1"/>
      <protection locked="0"/>
    </xf>
    <xf numFmtId="0" fontId="25" fillId="2" borderId="0" xfId="0" applyFont="1" applyFill="1"/>
    <xf numFmtId="170" fontId="25" fillId="0" borderId="0" xfId="0" applyNumberFormat="1" applyFont="1"/>
    <xf numFmtId="0" fontId="47" fillId="2" borderId="0" xfId="0" applyFont="1" applyFill="1"/>
    <xf numFmtId="0" fontId="47" fillId="0" borderId="0" xfId="0" applyFont="1"/>
    <xf numFmtId="0" fontId="48" fillId="0" borderId="0" xfId="0" applyFont="1"/>
    <xf numFmtId="3" fontId="48" fillId="0" borderId="0" xfId="0" applyNumberFormat="1" applyFont="1"/>
    <xf numFmtId="3" fontId="24" fillId="0" borderId="35" xfId="0" applyNumberFormat="1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 applyProtection="1">
      <alignment vertical="center" wrapText="1"/>
      <protection locked="0"/>
    </xf>
    <xf numFmtId="3" fontId="20" fillId="0" borderId="30" xfId="0" applyNumberFormat="1" applyFont="1" applyBorder="1" applyAlignment="1" applyProtection="1">
      <alignment horizontal="center" vertical="center" wrapText="1"/>
      <protection locked="0"/>
    </xf>
    <xf numFmtId="0" fontId="22" fillId="0" borderId="25" xfId="0" applyFont="1" applyBorder="1" applyAlignment="1" applyProtection="1">
      <alignment vertical="center" wrapText="1"/>
      <protection locked="0"/>
    </xf>
    <xf numFmtId="3" fontId="18" fillId="0" borderId="26" xfId="0" applyNumberFormat="1" applyFont="1" applyBorder="1" applyAlignment="1" applyProtection="1">
      <alignment vertical="center" wrapText="1"/>
      <protection locked="0"/>
    </xf>
    <xf numFmtId="49" fontId="22" fillId="0" borderId="24" xfId="0" applyNumberFormat="1" applyFont="1" applyBorder="1" applyAlignment="1" applyProtection="1">
      <alignment vertical="center" wrapText="1"/>
      <protection locked="0"/>
    </xf>
    <xf numFmtId="3" fontId="22" fillId="0" borderId="26" xfId="0" applyNumberFormat="1" applyFont="1" applyBorder="1" applyAlignment="1" applyProtection="1">
      <alignment vertical="center" wrapText="1"/>
      <protection locked="0"/>
    </xf>
    <xf numFmtId="0" fontId="0" fillId="0" borderId="30" xfId="0" applyBorder="1" applyAlignment="1">
      <alignment vertical="center" wrapText="1"/>
    </xf>
    <xf numFmtId="3" fontId="20" fillId="0" borderId="30" xfId="0" applyNumberFormat="1" applyFont="1" applyBorder="1" applyAlignment="1">
      <alignment vertical="center" wrapText="1"/>
    </xf>
    <xf numFmtId="3" fontId="18" fillId="0" borderId="55" xfId="0" applyNumberFormat="1" applyFont="1" applyBorder="1" applyAlignment="1" applyProtection="1">
      <alignment vertical="center" wrapText="1"/>
      <protection locked="0"/>
    </xf>
    <xf numFmtId="0" fontId="21" fillId="0" borderId="45" xfId="0" applyFont="1" applyBorder="1" applyAlignment="1">
      <alignment horizontal="center" vertical="center" wrapText="1" shrinkToFit="1"/>
    </xf>
    <xf numFmtId="49" fontId="20" fillId="2" borderId="24" xfId="0" applyNumberFormat="1" applyFont="1" applyFill="1" applyBorder="1" applyAlignment="1">
      <alignment horizontal="left" vertical="center" wrapText="1"/>
    </xf>
    <xf numFmtId="0" fontId="20" fillId="0" borderId="45" xfId="0" applyFont="1" applyBorder="1" applyAlignment="1">
      <alignment horizontal="center" vertical="center" wrapText="1" shrinkToFit="1"/>
    </xf>
    <xf numFmtId="49" fontId="20" fillId="0" borderId="59" xfId="0" applyNumberFormat="1" applyFont="1" applyBorder="1" applyAlignment="1">
      <alignment horizontal="left" vertical="center" wrapText="1" shrinkToFit="1"/>
    </xf>
    <xf numFmtId="9" fontId="20" fillId="0" borderId="35" xfId="0" applyNumberFormat="1" applyFont="1" applyBorder="1" applyAlignment="1">
      <alignment horizontal="center" vertical="center" wrapText="1" shrinkToFit="1"/>
    </xf>
    <xf numFmtId="0" fontId="20" fillId="0" borderId="35" xfId="0" applyFont="1" applyBorder="1" applyAlignment="1">
      <alignment horizontal="center" vertical="center" wrapText="1" shrinkToFit="1"/>
    </xf>
    <xf numFmtId="0" fontId="20" fillId="0" borderId="45" xfId="0" applyFont="1" applyBorder="1" applyAlignment="1">
      <alignment vertical="center" wrapText="1" shrinkToFit="1"/>
    </xf>
    <xf numFmtId="0" fontId="18" fillId="4" borderId="77" xfId="0" applyFont="1" applyFill="1" applyBorder="1" applyAlignment="1" applyProtection="1">
      <alignment vertical="center" wrapText="1"/>
      <protection locked="0"/>
    </xf>
    <xf numFmtId="3" fontId="22" fillId="4" borderId="58" xfId="0" applyNumberFormat="1" applyFont="1" applyFill="1" applyBorder="1" applyAlignment="1" applyProtection="1">
      <alignment vertical="center" wrapText="1"/>
      <protection locked="0"/>
    </xf>
    <xf numFmtId="3" fontId="22" fillId="4" borderId="72" xfId="0" applyNumberFormat="1" applyFont="1" applyFill="1" applyBorder="1" applyAlignment="1" applyProtection="1">
      <alignment vertical="center" wrapText="1"/>
      <protection locked="0"/>
    </xf>
    <xf numFmtId="3" fontId="22" fillId="4" borderId="62" xfId="0" applyNumberFormat="1" applyFont="1" applyFill="1" applyBorder="1" applyAlignment="1" applyProtection="1">
      <alignment vertical="center" wrapText="1"/>
      <protection locked="0"/>
    </xf>
    <xf numFmtId="3" fontId="18" fillId="4" borderId="75" xfId="0" applyNumberFormat="1" applyFont="1" applyFill="1" applyBorder="1" applyAlignment="1" applyProtection="1">
      <alignment vertical="center" wrapText="1"/>
      <protection locked="0"/>
    </xf>
    <xf numFmtId="0" fontId="49" fillId="0" borderId="30" xfId="0" applyFont="1" applyBorder="1" applyAlignment="1">
      <alignment horizontal="left" vertical="center" wrapText="1"/>
    </xf>
    <xf numFmtId="3" fontId="22" fillId="0" borderId="41" xfId="0" applyNumberFormat="1" applyFont="1" applyBorder="1" applyAlignment="1" applyProtection="1">
      <alignment vertical="center" wrapText="1"/>
      <protection locked="0"/>
    </xf>
    <xf numFmtId="0" fontId="22" fillId="0" borderId="68" xfId="0" applyFont="1" applyBorder="1" applyAlignment="1" applyProtection="1">
      <alignment vertical="center" wrapText="1"/>
      <protection locked="0"/>
    </xf>
    <xf numFmtId="0" fontId="0" fillId="0" borderId="69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3" fontId="22" fillId="0" borderId="38" xfId="0" applyNumberFormat="1" applyFont="1" applyBorder="1" applyAlignment="1" applyProtection="1">
      <alignment vertical="center" wrapText="1"/>
      <protection locked="0"/>
    </xf>
    <xf numFmtId="3" fontId="22" fillId="0" borderId="78" xfId="0" applyNumberFormat="1" applyFont="1" applyBorder="1" applyAlignment="1" applyProtection="1">
      <alignment vertical="center" wrapText="1"/>
      <protection locked="0"/>
    </xf>
    <xf numFmtId="3" fontId="22" fillId="0" borderId="60" xfId="0" applyNumberFormat="1" applyFont="1" applyBorder="1" applyAlignment="1" applyProtection="1">
      <alignment vertical="center" wrapText="1"/>
      <protection locked="0"/>
    </xf>
    <xf numFmtId="3" fontId="22" fillId="0" borderId="32" xfId="0" applyNumberFormat="1" applyFont="1" applyBorder="1" applyAlignment="1" applyProtection="1">
      <alignment vertical="center" wrapText="1"/>
      <protection locked="0"/>
    </xf>
    <xf numFmtId="3" fontId="22" fillId="0" borderId="25" xfId="0" applyNumberFormat="1" applyFont="1" applyBorder="1" applyAlignment="1" applyProtection="1">
      <alignment vertical="center" wrapText="1"/>
      <protection locked="0"/>
    </xf>
    <xf numFmtId="3" fontId="22" fillId="0" borderId="40" xfId="0" applyNumberFormat="1" applyFont="1" applyBorder="1" applyAlignment="1" applyProtection="1">
      <alignment vertical="center" wrapText="1"/>
      <protection locked="0"/>
    </xf>
    <xf numFmtId="3" fontId="26" fillId="0" borderId="0" xfId="0" applyNumberFormat="1" applyFont="1"/>
    <xf numFmtId="49" fontId="24" fillId="0" borderId="44" xfId="0" applyNumberFormat="1" applyFont="1" applyBorder="1" applyAlignment="1" applyProtection="1">
      <alignment vertical="center" wrapText="1"/>
      <protection locked="0"/>
    </xf>
    <xf numFmtId="3" fontId="25" fillId="0" borderId="9" xfId="1" applyNumberFormat="1" applyFont="1" applyBorder="1">
      <protection locked="0"/>
    </xf>
    <xf numFmtId="3" fontId="20" fillId="0" borderId="43" xfId="1" applyNumberFormat="1" applyFont="1" applyBorder="1">
      <protection locked="0"/>
    </xf>
    <xf numFmtId="3" fontId="24" fillId="0" borderId="12" xfId="0" applyNumberFormat="1" applyFont="1" applyBorder="1" applyAlignment="1" applyProtection="1">
      <alignment wrapText="1"/>
      <protection locked="0"/>
    </xf>
    <xf numFmtId="3" fontId="18" fillId="0" borderId="12" xfId="0" applyNumberFormat="1" applyFont="1" applyBorder="1" applyAlignment="1" applyProtection="1">
      <alignment wrapText="1"/>
      <protection locked="0"/>
    </xf>
    <xf numFmtId="3" fontId="17" fillId="9" borderId="53" xfId="2" applyNumberFormat="1" applyFont="1" applyFill="1" applyBorder="1" applyAlignment="1" applyProtection="1">
      <alignment horizontal="center"/>
    </xf>
    <xf numFmtId="3" fontId="15" fillId="6" borderId="2" xfId="0" applyNumberFormat="1" applyFont="1" applyFill="1" applyBorder="1" applyAlignment="1">
      <alignment vertical="center"/>
    </xf>
    <xf numFmtId="168" fontId="7" fillId="0" borderId="0" xfId="2" applyNumberFormat="1" applyFont="1" applyBorder="1" applyProtection="1"/>
    <xf numFmtId="0" fontId="17" fillId="9" borderId="47" xfId="0" applyFont="1" applyFill="1" applyBorder="1" applyAlignment="1">
      <alignment horizontal="left"/>
    </xf>
    <xf numFmtId="3" fontId="1" fillId="4" borderId="4" xfId="0" applyNumberFormat="1" applyFont="1" applyFill="1" applyBorder="1"/>
    <xf numFmtId="165" fontId="2" fillId="0" borderId="39" xfId="0" applyNumberFormat="1" applyFont="1" applyBorder="1"/>
    <xf numFmtId="165" fontId="2" fillId="0" borderId="2" xfId="0" applyNumberFormat="1" applyFont="1" applyBorder="1"/>
    <xf numFmtId="3" fontId="9" fillId="0" borderId="45" xfId="0" applyNumberFormat="1" applyFont="1" applyBorder="1" applyAlignment="1">
      <alignment horizontal="right" vertical="center" wrapText="1" shrinkToFit="1"/>
    </xf>
    <xf numFmtId="3" fontId="9" fillId="0" borderId="35" xfId="0" applyNumberFormat="1" applyFont="1" applyBorder="1" applyAlignment="1">
      <alignment horizontal="right" vertical="center" wrapText="1" shrinkToFit="1"/>
    </xf>
    <xf numFmtId="3" fontId="10" fillId="5" borderId="49" xfId="0" applyNumberFormat="1" applyFont="1" applyFill="1" applyBorder="1" applyAlignment="1">
      <alignment horizontal="right" vertical="center" wrapText="1" shrinkToFit="1"/>
    </xf>
    <xf numFmtId="3" fontId="12" fillId="5" borderId="49" xfId="0" applyNumberFormat="1" applyFont="1" applyFill="1" applyBorder="1" applyAlignment="1">
      <alignment horizontal="right" vertical="center" wrapText="1" shrinkToFit="1"/>
    </xf>
    <xf numFmtId="3" fontId="17" fillId="6" borderId="74" xfId="0" applyNumberFormat="1" applyFont="1" applyFill="1" applyBorder="1" applyAlignment="1">
      <alignment horizontal="right" vertical="center"/>
    </xf>
    <xf numFmtId="3" fontId="15" fillId="6" borderId="57" xfId="0" applyNumberFormat="1" applyFont="1" applyFill="1" applyBorder="1" applyAlignment="1">
      <alignment horizontal="center" vertical="center"/>
    </xf>
    <xf numFmtId="0" fontId="22" fillId="0" borderId="30" xfId="0" applyFont="1" applyBorder="1" applyAlignment="1" applyProtection="1">
      <alignment horizontal="right" vertical="center" wrapText="1"/>
      <protection locked="0"/>
    </xf>
    <xf numFmtId="3" fontId="20" fillId="0" borderId="45" xfId="0" applyNumberFormat="1" applyFont="1" applyBorder="1" applyAlignment="1">
      <alignment horizontal="right" vertical="center" wrapText="1" shrinkToFit="1"/>
    </xf>
    <xf numFmtId="3" fontId="24" fillId="0" borderId="30" xfId="0" applyNumberFormat="1" applyFont="1" applyBorder="1" applyAlignment="1" applyProtection="1">
      <alignment horizontal="right" vertical="center" wrapText="1"/>
      <protection locked="0"/>
    </xf>
    <xf numFmtId="3" fontId="22" fillId="0" borderId="64" xfId="0" applyNumberFormat="1" applyFont="1" applyBorder="1" applyAlignment="1" applyProtection="1">
      <alignment horizontal="right" vertical="center" wrapText="1"/>
      <protection locked="0"/>
    </xf>
    <xf numFmtId="3" fontId="24" fillId="0" borderId="64" xfId="0" applyNumberFormat="1" applyFont="1" applyBorder="1" applyAlignment="1" applyProtection="1">
      <alignment horizontal="right" vertical="center" wrapText="1"/>
      <protection locked="0"/>
    </xf>
    <xf numFmtId="3" fontId="22" fillId="0" borderId="35" xfId="0" applyNumberFormat="1" applyFont="1" applyBorder="1" applyAlignment="1" applyProtection="1">
      <alignment horizontal="right" vertical="center" wrapText="1"/>
      <protection locked="0"/>
    </xf>
    <xf numFmtId="3" fontId="22" fillId="0" borderId="26" xfId="0" applyNumberFormat="1" applyFont="1" applyBorder="1" applyAlignment="1" applyProtection="1">
      <alignment horizontal="center" vertical="center" wrapText="1"/>
      <protection locked="0"/>
    </xf>
    <xf numFmtId="3" fontId="24" fillId="0" borderId="30" xfId="0" applyNumberFormat="1" applyFont="1" applyBorder="1" applyAlignment="1" applyProtection="1">
      <alignment horizontal="right" wrapText="1"/>
      <protection locked="0"/>
    </xf>
    <xf numFmtId="3" fontId="22" fillId="0" borderId="30" xfId="0" applyNumberFormat="1" applyFont="1" applyBorder="1" applyAlignment="1" applyProtection="1">
      <alignment horizontal="right" wrapText="1"/>
      <protection locked="0"/>
    </xf>
    <xf numFmtId="3" fontId="22" fillId="0" borderId="35" xfId="0" applyNumberFormat="1" applyFont="1" applyBorder="1" applyAlignment="1" applyProtection="1">
      <alignment horizontal="right" wrapText="1"/>
      <protection locked="0"/>
    </xf>
    <xf numFmtId="3" fontId="22" fillId="0" borderId="66" xfId="0" applyNumberFormat="1" applyFont="1" applyBorder="1" applyAlignment="1" applyProtection="1">
      <alignment horizontal="right" wrapText="1"/>
      <protection locked="0"/>
    </xf>
    <xf numFmtId="3" fontId="18" fillId="0" borderId="49" xfId="0" applyNumberFormat="1" applyFont="1" applyBorder="1" applyAlignment="1" applyProtection="1">
      <alignment horizontal="right" vertical="center" wrapText="1"/>
      <protection locked="0"/>
    </xf>
    <xf numFmtId="3" fontId="10" fillId="10" borderId="49" xfId="0" applyNumberFormat="1" applyFont="1" applyFill="1" applyBorder="1" applyAlignment="1">
      <alignment horizontal="right" vertical="center" wrapText="1" shrinkToFit="1"/>
    </xf>
    <xf numFmtId="3" fontId="10" fillId="10" borderId="3" xfId="0" applyNumberFormat="1" applyFont="1" applyFill="1" applyBorder="1" applyAlignment="1">
      <alignment horizontal="right" vertical="center" wrapText="1" shrinkToFit="1"/>
    </xf>
    <xf numFmtId="3" fontId="11" fillId="0" borderId="72" xfId="0" applyNumberFormat="1" applyFont="1" applyBorder="1" applyAlignment="1">
      <alignment horizontal="right" vertical="center" wrapText="1" shrinkToFit="1"/>
    </xf>
    <xf numFmtId="3" fontId="10" fillId="10" borderId="49" xfId="0" applyNumberFormat="1" applyFont="1" applyFill="1" applyBorder="1" applyAlignment="1">
      <alignment horizontal="right"/>
    </xf>
    <xf numFmtId="3" fontId="10" fillId="10" borderId="67" xfId="0" applyNumberFormat="1" applyFont="1" applyFill="1" applyBorder="1" applyAlignment="1">
      <alignment horizontal="right" vertical="center" wrapText="1" shrinkToFit="1"/>
    </xf>
    <xf numFmtId="3" fontId="22" fillId="0" borderId="67" xfId="0" applyNumberFormat="1" applyFont="1" applyBorder="1" applyAlignment="1" applyProtection="1">
      <alignment vertical="center" wrapText="1"/>
      <protection locked="0"/>
    </xf>
    <xf numFmtId="3" fontId="18" fillId="11" borderId="49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52" xfId="0" applyFont="1" applyBorder="1" applyAlignment="1" applyProtection="1">
      <alignment vertical="center" wrapText="1"/>
      <protection locked="0"/>
    </xf>
    <xf numFmtId="3" fontId="18" fillId="0" borderId="70" xfId="0" applyNumberFormat="1" applyFont="1" applyBorder="1" applyAlignment="1" applyProtection="1">
      <alignment vertical="center" wrapText="1"/>
      <protection locked="0"/>
    </xf>
    <xf numFmtId="3" fontId="38" fillId="0" borderId="28" xfId="2" applyNumberFormat="1" applyFont="1" applyBorder="1" applyProtection="1"/>
    <xf numFmtId="49" fontId="22" fillId="0" borderId="68" xfId="0" applyNumberFormat="1" applyFont="1" applyBorder="1" applyAlignment="1" applyProtection="1">
      <alignment horizontal="left" vertical="center" wrapText="1"/>
      <protection locked="0"/>
    </xf>
    <xf numFmtId="3" fontId="21" fillId="0" borderId="28" xfId="0" applyNumberFormat="1" applyFont="1" applyBorder="1" applyAlignment="1">
      <alignment horizontal="right" vertical="center" wrapText="1" shrinkToFit="1"/>
    </xf>
    <xf numFmtId="0" fontId="50" fillId="0" borderId="0" xfId="0" applyFont="1"/>
    <xf numFmtId="0" fontId="22" fillId="0" borderId="78" xfId="0" applyFont="1" applyBorder="1" applyAlignment="1" applyProtection="1">
      <alignment vertical="center" wrapText="1"/>
      <protection locked="0"/>
    </xf>
    <xf numFmtId="3" fontId="20" fillId="2" borderId="41" xfId="0" applyNumberFormat="1" applyFont="1" applyFill="1" applyBorder="1" applyAlignment="1">
      <alignment horizontal="center" vertical="center" wrapText="1" shrinkToFit="1"/>
    </xf>
    <xf numFmtId="3" fontId="18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>
      <alignment horizontal="center" vertical="center" wrapText="1" shrinkToFit="1"/>
    </xf>
    <xf numFmtId="0" fontId="20" fillId="0" borderId="61" xfId="0" applyFont="1" applyBorder="1" applyAlignment="1">
      <alignment horizontal="center" vertical="center" wrapText="1" shrinkToFit="1"/>
    </xf>
    <xf numFmtId="3" fontId="20" fillId="0" borderId="40" xfId="0" applyNumberFormat="1" applyFont="1" applyBorder="1" applyAlignment="1">
      <alignment horizontal="right" vertical="center" wrapText="1" shrinkToFit="1"/>
    </xf>
    <xf numFmtId="3" fontId="20" fillId="0" borderId="32" xfId="0" applyNumberFormat="1" applyFont="1" applyBorder="1" applyAlignment="1">
      <alignment horizontal="right" vertical="center" wrapText="1" shrinkToFit="1"/>
    </xf>
    <xf numFmtId="0" fontId="20" fillId="0" borderId="25" xfId="0" applyFont="1" applyBorder="1" applyAlignment="1">
      <alignment horizontal="left" vertical="center" wrapText="1" shrinkToFit="1"/>
    </xf>
    <xf numFmtId="0" fontId="20" fillId="0" borderId="60" xfId="0" applyFont="1" applyBorder="1" applyAlignment="1">
      <alignment horizontal="left" vertical="center" wrapText="1" shrinkToFit="1"/>
    </xf>
    <xf numFmtId="49" fontId="20" fillId="0" borderId="24" xfId="0" applyNumberFormat="1" applyFont="1" applyBorder="1" applyAlignment="1">
      <alignment horizontal="left" vertical="center" wrapText="1" shrinkToFit="1"/>
    </xf>
    <xf numFmtId="3" fontId="22" fillId="0" borderId="50" xfId="0" applyNumberFormat="1" applyFont="1" applyBorder="1" applyAlignment="1" applyProtection="1">
      <alignment horizontal="center" vertical="center" wrapText="1"/>
      <protection locked="0"/>
    </xf>
    <xf numFmtId="3" fontId="18" fillId="11" borderId="53" xfId="0" applyNumberFormat="1" applyFont="1" applyFill="1" applyBorder="1" applyAlignment="1" applyProtection="1">
      <alignment horizontal="center" vertical="center" wrapText="1"/>
      <protection locked="0"/>
    </xf>
    <xf numFmtId="3" fontId="50" fillId="0" borderId="31" xfId="0" applyNumberFormat="1" applyFont="1" applyBorder="1" applyAlignment="1" applyProtection="1">
      <alignment vertical="center" wrapText="1"/>
      <protection locked="0"/>
    </xf>
    <xf numFmtId="3" fontId="50" fillId="0" borderId="0" xfId="0" applyNumberFormat="1" applyFont="1" applyAlignment="1" applyProtection="1">
      <alignment vertical="center" wrapText="1"/>
      <protection locked="0"/>
    </xf>
    <xf numFmtId="0" fontId="51" fillId="0" borderId="0" xfId="0" applyFont="1"/>
    <xf numFmtId="0" fontId="8" fillId="6" borderId="39" xfId="0" applyFont="1" applyFill="1" applyBorder="1" applyAlignment="1">
      <alignment horizontal="center" vertical="center" wrapText="1" shrinkToFit="1"/>
    </xf>
    <xf numFmtId="0" fontId="21" fillId="6" borderId="55" xfId="0" applyFont="1" applyFill="1" applyBorder="1" applyAlignment="1">
      <alignment horizontal="center" vertical="center" wrapText="1" shrinkToFit="1"/>
    </xf>
    <xf numFmtId="0" fontId="21" fillId="6" borderId="26" xfId="0" applyFont="1" applyFill="1" applyBorder="1" applyAlignment="1">
      <alignment horizontal="center" vertical="center" wrapText="1" shrinkToFit="1"/>
    </xf>
    <xf numFmtId="3" fontId="22" fillId="0" borderId="46" xfId="0" applyNumberFormat="1" applyFont="1" applyBorder="1" applyAlignment="1" applyProtection="1">
      <alignment vertical="center" wrapText="1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52" fillId="0" borderId="0" xfId="0" applyFont="1"/>
    <xf numFmtId="3" fontId="22" fillId="0" borderId="79" xfId="0" applyNumberFormat="1" applyFont="1" applyBorder="1" applyAlignment="1" applyProtection="1">
      <alignment vertical="center" wrapText="1"/>
      <protection locked="0"/>
    </xf>
    <xf numFmtId="3" fontId="7" fillId="17" borderId="0" xfId="0" applyNumberFormat="1" applyFont="1" applyFill="1"/>
    <xf numFmtId="49" fontId="0" fillId="0" borderId="59" xfId="0" applyNumberFormat="1" applyBorder="1" applyAlignment="1">
      <alignment vertical="center" wrapText="1"/>
    </xf>
    <xf numFmtId="10" fontId="20" fillId="0" borderId="60" xfId="0" applyNumberFormat="1" applyFont="1" applyBorder="1" applyAlignment="1">
      <alignment horizontal="center" vertical="center" wrapText="1" shrinkToFit="1"/>
    </xf>
    <xf numFmtId="173" fontId="7" fillId="17" borderId="0" xfId="0" applyNumberFormat="1" applyFont="1" applyFill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0" fillId="0" borderId="24" xfId="0" applyBorder="1"/>
    <xf numFmtId="3" fontId="0" fillId="0" borderId="26" xfId="0" applyNumberFormat="1" applyBorder="1"/>
    <xf numFmtId="0" fontId="0" fillId="0" borderId="29" xfId="0" applyBorder="1"/>
    <xf numFmtId="3" fontId="0" fillId="0" borderId="14" xfId="0" applyNumberFormat="1" applyBorder="1"/>
    <xf numFmtId="0" fontId="17" fillId="21" borderId="47" xfId="0" applyFont="1" applyFill="1" applyBorder="1"/>
    <xf numFmtId="3" fontId="17" fillId="21" borderId="8" xfId="0" applyNumberFormat="1" applyFont="1" applyFill="1" applyBorder="1"/>
    <xf numFmtId="49" fontId="54" fillId="0" borderId="44" xfId="0" applyNumberFormat="1" applyFont="1" applyBorder="1"/>
    <xf numFmtId="49" fontId="55" fillId="0" borderId="45" xfId="0" applyNumberFormat="1" applyFont="1" applyBorder="1" applyAlignment="1">
      <alignment wrapText="1"/>
    </xf>
    <xf numFmtId="49" fontId="54" fillId="0" borderId="29" xfId="0" applyNumberFormat="1" applyFont="1" applyBorder="1"/>
    <xf numFmtId="49" fontId="55" fillId="0" borderId="30" xfId="0" applyNumberFormat="1" applyFont="1" applyBorder="1" applyAlignment="1">
      <alignment wrapText="1"/>
    </xf>
    <xf numFmtId="49" fontId="54" fillId="0" borderId="34" xfId="0" applyNumberFormat="1" applyFont="1" applyBorder="1"/>
    <xf numFmtId="3" fontId="53" fillId="16" borderId="2" xfId="0" applyNumberFormat="1" applyFont="1" applyFill="1" applyBorder="1"/>
    <xf numFmtId="0" fontId="0" fillId="0" borderId="59" xfId="0" applyBorder="1"/>
    <xf numFmtId="3" fontId="0" fillId="0" borderId="33" xfId="0" applyNumberFormat="1" applyBorder="1"/>
    <xf numFmtId="9" fontId="22" fillId="0" borderId="37" xfId="0" applyNumberFormat="1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vertical="center" wrapText="1"/>
      <protection locked="0"/>
    </xf>
    <xf numFmtId="168" fontId="16" fillId="0" borderId="0" xfId="2" applyNumberFormat="1" applyBorder="1" applyProtection="1"/>
    <xf numFmtId="49" fontId="11" fillId="0" borderId="59" xfId="0" applyNumberFormat="1" applyFont="1" applyBorder="1" applyAlignment="1">
      <alignment horizontal="left" vertical="center" wrapText="1" shrinkToFit="1"/>
    </xf>
    <xf numFmtId="49" fontId="11" fillId="0" borderId="60" xfId="0" applyNumberFormat="1" applyFont="1" applyBorder="1" applyAlignment="1">
      <alignment horizontal="left" vertical="center" wrapText="1" shrinkToFit="1"/>
    </xf>
    <xf numFmtId="3" fontId="11" fillId="0" borderId="60" xfId="0" applyNumberFormat="1" applyFont="1" applyBorder="1" applyAlignment="1">
      <alignment horizontal="right" vertical="center" wrapText="1" shrinkToFit="1"/>
    </xf>
    <xf numFmtId="3" fontId="11" fillId="0" borderId="60" xfId="0" applyNumberFormat="1" applyFont="1" applyBorder="1" applyAlignment="1">
      <alignment vertical="center" wrapText="1" shrinkToFit="1"/>
    </xf>
    <xf numFmtId="3" fontId="11" fillId="0" borderId="60" xfId="0" applyNumberFormat="1" applyFont="1" applyBorder="1" applyAlignment="1">
      <alignment horizontal="center" vertical="center" wrapText="1" shrinkToFit="1"/>
    </xf>
    <xf numFmtId="3" fontId="11" fillId="0" borderId="32" xfId="0" applyNumberFormat="1" applyFont="1" applyBorder="1" applyAlignment="1">
      <alignment vertical="center" wrapText="1" shrinkToFit="1"/>
    </xf>
    <xf numFmtId="49" fontId="11" fillId="0" borderId="44" xfId="0" applyNumberFormat="1" applyFont="1" applyBorder="1" applyAlignment="1">
      <alignment horizontal="left" vertical="center" wrapText="1" shrinkToFit="1"/>
    </xf>
    <xf numFmtId="3" fontId="11" fillId="0" borderId="9" xfId="0" applyNumberFormat="1" applyFont="1" applyBorder="1" applyAlignment="1">
      <alignment vertical="center" wrapText="1" shrinkToFit="1"/>
    </xf>
    <xf numFmtId="165" fontId="40" fillId="0" borderId="30" xfId="1" applyNumberFormat="1" applyBorder="1">
      <protection locked="0"/>
    </xf>
    <xf numFmtId="0" fontId="17" fillId="13" borderId="24" xfId="0" applyFont="1" applyFill="1" applyBorder="1" applyAlignment="1">
      <alignment horizontal="center" vertical="center" readingOrder="1"/>
    </xf>
    <xf numFmtId="0" fontId="17" fillId="13" borderId="26" xfId="0" applyFont="1" applyFill="1" applyBorder="1" applyAlignment="1">
      <alignment horizontal="center" vertical="center" readingOrder="1"/>
    </xf>
    <xf numFmtId="165" fontId="40" fillId="0" borderId="35" xfId="1" applyNumberFormat="1" applyBorder="1">
      <protection locked="0"/>
    </xf>
    <xf numFmtId="165" fontId="17" fillId="14" borderId="47" xfId="1" applyNumberFormat="1" applyFont="1" applyFill="1" applyBorder="1" applyAlignment="1">
      <alignment horizontal="right" readingOrder="1"/>
      <protection locked="0"/>
    </xf>
    <xf numFmtId="3" fontId="22" fillId="22" borderId="30" xfId="0" applyNumberFormat="1" applyFont="1" applyFill="1" applyBorder="1" applyAlignment="1" applyProtection="1">
      <alignment vertical="center" wrapText="1"/>
      <protection locked="0"/>
    </xf>
    <xf numFmtId="3" fontId="22" fillId="22" borderId="45" xfId="0" applyNumberFormat="1" applyFont="1" applyFill="1" applyBorder="1" applyAlignment="1" applyProtection="1">
      <alignment horizontal="center" vertical="center" wrapText="1"/>
      <protection locked="0"/>
    </xf>
    <xf numFmtId="3" fontId="22" fillId="22" borderId="12" xfId="0" applyNumberFormat="1" applyFont="1" applyFill="1" applyBorder="1" applyAlignment="1" applyProtection="1">
      <alignment vertical="center" wrapText="1"/>
      <protection locked="0"/>
    </xf>
    <xf numFmtId="3" fontId="20" fillId="0" borderId="60" xfId="0" applyNumberFormat="1" applyFont="1" applyBorder="1" applyAlignment="1">
      <alignment horizontal="center" vertical="center" wrapText="1" shrinkToFit="1"/>
    </xf>
    <xf numFmtId="49" fontId="20" fillId="0" borderId="29" xfId="0" applyNumberFormat="1" applyFont="1" applyBorder="1" applyAlignment="1">
      <alignment horizontal="left" vertical="center" wrapText="1" shrinkToFit="1"/>
    </xf>
    <xf numFmtId="0" fontId="20" fillId="0" borderId="30" xfId="0" applyFont="1" applyBorder="1" applyAlignment="1">
      <alignment horizontal="left" vertical="center" wrapText="1" shrinkToFit="1"/>
    </xf>
    <xf numFmtId="0" fontId="20" fillId="0" borderId="30" xfId="0" applyFont="1" applyBorder="1" applyAlignment="1">
      <alignment horizontal="center" vertical="center" wrapText="1" shrinkToFit="1"/>
    </xf>
    <xf numFmtId="3" fontId="20" fillId="0" borderId="30" xfId="0" applyNumberFormat="1" applyFont="1" applyBorder="1" applyAlignment="1">
      <alignment horizontal="center" vertical="center" wrapText="1" shrinkToFit="1"/>
    </xf>
    <xf numFmtId="9" fontId="22" fillId="17" borderId="3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3" fontId="22" fillId="0" borderId="0" xfId="0" applyNumberFormat="1" applyFont="1" applyAlignment="1" applyProtection="1">
      <alignment horizontal="center" vertical="center" wrapText="1"/>
      <protection locked="0"/>
    </xf>
    <xf numFmtId="9" fontId="57" fillId="0" borderId="0" xfId="0" applyNumberFormat="1" applyFont="1"/>
    <xf numFmtId="9" fontId="58" fillId="0" borderId="0" xfId="0" applyNumberFormat="1" applyFont="1"/>
    <xf numFmtId="9" fontId="58" fillId="2" borderId="0" xfId="0" applyNumberFormat="1" applyFont="1" applyFill="1"/>
    <xf numFmtId="9" fontId="59" fillId="0" borderId="0" xfId="0" applyNumberFormat="1" applyFont="1"/>
    <xf numFmtId="9" fontId="60" fillId="0" borderId="0" xfId="0" applyNumberFormat="1" applyFont="1"/>
    <xf numFmtId="9" fontId="61" fillId="0" borderId="0" xfId="0" applyNumberFormat="1" applyFont="1" applyAlignment="1" applyProtection="1">
      <alignment vertical="center" wrapText="1"/>
      <protection locked="0"/>
    </xf>
    <xf numFmtId="9" fontId="62" fillId="0" borderId="0" xfId="0" applyNumberFormat="1" applyFont="1"/>
    <xf numFmtId="9" fontId="57" fillId="2" borderId="0" xfId="0" applyNumberFormat="1" applyFont="1" applyFill="1"/>
    <xf numFmtId="9" fontId="57" fillId="17" borderId="0" xfId="0" applyNumberFormat="1" applyFont="1" applyFill="1"/>
    <xf numFmtId="9" fontId="63" fillId="0" borderId="0" xfId="0" applyNumberFormat="1" applyFont="1" applyAlignment="1" applyProtection="1">
      <alignment vertical="center" wrapText="1"/>
      <protection locked="0"/>
    </xf>
    <xf numFmtId="9" fontId="62" fillId="18" borderId="0" xfId="0" applyNumberFormat="1" applyFont="1" applyFill="1"/>
    <xf numFmtId="9" fontId="59" fillId="2" borderId="0" xfId="0" applyNumberFormat="1" applyFont="1" applyFill="1"/>
    <xf numFmtId="9" fontId="62" fillId="16" borderId="0" xfId="0" applyNumberFormat="1" applyFont="1" applyFill="1"/>
    <xf numFmtId="9" fontId="64" fillId="0" borderId="0" xfId="0" applyNumberFormat="1" applyFont="1"/>
    <xf numFmtId="9" fontId="65" fillId="0" borderId="0" xfId="0" applyNumberFormat="1" applyFont="1"/>
    <xf numFmtId="9" fontId="66" fillId="0" borderId="0" xfId="0" applyNumberFormat="1" applyFont="1"/>
    <xf numFmtId="9" fontId="67" fillId="0" borderId="0" xfId="0" applyNumberFormat="1" applyFont="1"/>
    <xf numFmtId="9" fontId="0" fillId="0" borderId="0" xfId="0" applyNumberFormat="1"/>
    <xf numFmtId="9" fontId="0" fillId="2" borderId="0" xfId="0" applyNumberFormat="1" applyFill="1"/>
    <xf numFmtId="9" fontId="0" fillId="17" borderId="0" xfId="0" applyNumberFormat="1" applyFill="1"/>
    <xf numFmtId="9" fontId="22" fillId="2" borderId="0" xfId="0" applyNumberFormat="1" applyFont="1" applyFill="1" applyAlignment="1" applyProtection="1">
      <alignment horizontal="center" vertical="center" wrapText="1"/>
      <protection locked="0"/>
    </xf>
    <xf numFmtId="9" fontId="50" fillId="0" borderId="0" xfId="0" applyNumberFormat="1" applyFont="1" applyAlignment="1" applyProtection="1">
      <alignment vertical="center" wrapText="1"/>
      <protection locked="0"/>
    </xf>
    <xf numFmtId="9" fontId="7" fillId="16" borderId="0" xfId="0" applyNumberFormat="1" applyFont="1" applyFill="1"/>
    <xf numFmtId="9" fontId="39" fillId="0" borderId="0" xfId="0" applyNumberFormat="1" applyFont="1"/>
    <xf numFmtId="9" fontId="26" fillId="0" borderId="0" xfId="0" applyNumberFormat="1" applyFont="1"/>
    <xf numFmtId="0" fontId="22" fillId="0" borderId="0" xfId="0" applyFont="1" applyAlignment="1" applyProtection="1">
      <alignment horizontal="center" vertical="center" wrapText="1"/>
      <protection locked="0"/>
    </xf>
    <xf numFmtId="172" fontId="22" fillId="0" borderId="30" xfId="0" applyNumberFormat="1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wrapText="1"/>
    </xf>
    <xf numFmtId="3" fontId="14" fillId="0" borderId="0" xfId="0" applyNumberFormat="1" applyFont="1" applyAlignment="1">
      <alignment horizontal="right"/>
    </xf>
    <xf numFmtId="0" fontId="69" fillId="0" borderId="0" xfId="0" applyFont="1" applyAlignment="1">
      <alignment wrapText="1"/>
    </xf>
    <xf numFmtId="3" fontId="69" fillId="0" borderId="0" xfId="0" applyNumberFormat="1" applyFont="1" applyAlignment="1">
      <alignment horizontal="right"/>
    </xf>
    <xf numFmtId="0" fontId="69" fillId="0" borderId="0" xfId="0" applyFont="1"/>
    <xf numFmtId="174" fontId="70" fillId="0" borderId="0" xfId="0" applyNumberFormat="1" applyFont="1"/>
    <xf numFmtId="9" fontId="71" fillId="18" borderId="0" xfId="0" applyNumberFormat="1" applyFont="1" applyFill="1"/>
    <xf numFmtId="9" fontId="70" fillId="0" borderId="0" xfId="0" applyNumberFormat="1" applyFont="1"/>
    <xf numFmtId="9" fontId="22" fillId="0" borderId="64" xfId="0" applyNumberFormat="1" applyFont="1" applyBorder="1" applyAlignment="1" applyProtection="1">
      <alignment horizontal="center" vertical="center" wrapText="1"/>
      <protection locked="0"/>
    </xf>
    <xf numFmtId="3" fontId="22" fillId="2" borderId="0" xfId="0" applyNumberFormat="1" applyFont="1" applyFill="1" applyAlignment="1" applyProtection="1">
      <alignment vertical="center" wrapText="1"/>
      <protection locked="0"/>
    </xf>
    <xf numFmtId="49" fontId="22" fillId="23" borderId="44" xfId="0" applyNumberFormat="1" applyFont="1" applyFill="1" applyBorder="1" applyAlignment="1" applyProtection="1">
      <alignment vertical="center" wrapText="1"/>
      <protection locked="0"/>
    </xf>
    <xf numFmtId="0" fontId="22" fillId="23" borderId="45" xfId="0" applyFont="1" applyFill="1" applyBorder="1" applyAlignment="1" applyProtection="1">
      <alignment vertical="center" wrapText="1"/>
      <protection locked="0"/>
    </xf>
    <xf numFmtId="3" fontId="22" fillId="23" borderId="45" xfId="0" applyNumberFormat="1" applyFont="1" applyFill="1" applyBorder="1" applyAlignment="1" applyProtection="1">
      <alignment vertical="center" wrapText="1"/>
      <protection locked="0"/>
    </xf>
    <xf numFmtId="9" fontId="22" fillId="23" borderId="45" xfId="0" applyNumberFormat="1" applyFont="1" applyFill="1" applyBorder="1" applyAlignment="1" applyProtection="1">
      <alignment horizontal="center" vertical="center" wrapText="1"/>
      <protection locked="0"/>
    </xf>
    <xf numFmtId="3" fontId="38" fillId="23" borderId="28" xfId="2" applyNumberFormat="1" applyFont="1" applyFill="1" applyBorder="1" applyProtection="1"/>
    <xf numFmtId="49" fontId="25" fillId="0" borderId="0" xfId="0" applyNumberFormat="1" applyFont="1"/>
    <xf numFmtId="3" fontId="22" fillId="17" borderId="14" xfId="0" applyNumberFormat="1" applyFont="1" applyFill="1" applyBorder="1" applyAlignment="1" applyProtection="1">
      <alignment vertical="center" wrapText="1"/>
      <protection locked="0"/>
    </xf>
    <xf numFmtId="3" fontId="18" fillId="17" borderId="21" xfId="0" applyNumberFormat="1" applyFont="1" applyFill="1" applyBorder="1" applyAlignment="1" applyProtection="1">
      <alignment vertical="center" wrapText="1"/>
      <protection locked="0"/>
    </xf>
    <xf numFmtId="49" fontId="20" fillId="0" borderId="29" xfId="0" applyNumberFormat="1" applyFont="1" applyBorder="1" applyAlignment="1" applyProtection="1">
      <alignment vertical="center" wrapText="1"/>
      <protection locked="0"/>
    </xf>
    <xf numFmtId="9" fontId="20" fillId="0" borderId="35" xfId="0" applyNumberFormat="1" applyFont="1" applyBorder="1" applyAlignment="1" applyProtection="1">
      <alignment horizontal="center" vertical="center" wrapText="1"/>
      <protection locked="0"/>
    </xf>
    <xf numFmtId="3" fontId="20" fillId="0" borderId="21" xfId="0" applyNumberFormat="1" applyFont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horizontal="right" vertical="center" wrapText="1"/>
      <protection locked="0"/>
    </xf>
    <xf numFmtId="0" fontId="20" fillId="0" borderId="41" xfId="0" applyFont="1" applyBorder="1" applyAlignment="1">
      <alignment horizontal="center" vertical="center" wrapText="1" shrinkToFit="1"/>
    </xf>
    <xf numFmtId="3" fontId="20" fillId="0" borderId="12" xfId="0" applyNumberFormat="1" applyFont="1" applyBorder="1" applyAlignment="1">
      <alignment horizontal="right" vertical="center" wrapText="1" shrinkToFit="1"/>
    </xf>
    <xf numFmtId="3" fontId="8" fillId="0" borderId="12" xfId="0" applyNumberFormat="1" applyFont="1" applyBorder="1" applyAlignment="1">
      <alignment vertical="center" wrapText="1" shrinkToFit="1"/>
    </xf>
    <xf numFmtId="3" fontId="8" fillId="0" borderId="9" xfId="0" applyNumberFormat="1" applyFont="1" applyBorder="1" applyAlignment="1">
      <alignment vertical="center" wrapText="1" shrinkToFit="1"/>
    </xf>
    <xf numFmtId="3" fontId="8" fillId="0" borderId="17" xfId="0" applyNumberFormat="1" applyFont="1" applyBorder="1" applyAlignment="1">
      <alignment vertical="center" wrapText="1" shrinkToFit="1"/>
    </xf>
    <xf numFmtId="3" fontId="8" fillId="0" borderId="40" xfId="0" applyNumberFormat="1" applyFont="1" applyBorder="1" applyAlignment="1">
      <alignment vertical="center" wrapText="1" shrinkToFit="1"/>
    </xf>
    <xf numFmtId="3" fontId="11" fillId="0" borderId="35" xfId="0" applyNumberFormat="1" applyFont="1" applyBorder="1" applyAlignment="1">
      <alignment vertical="center" wrapText="1" shrinkToFit="1"/>
    </xf>
    <xf numFmtId="3" fontId="11" fillId="0" borderId="64" xfId="0" applyNumberFormat="1" applyFont="1" applyBorder="1" applyAlignment="1">
      <alignment vertical="center" wrapText="1" shrinkToFit="1"/>
    </xf>
    <xf numFmtId="3" fontId="11" fillId="0" borderId="66" xfId="0" applyNumberFormat="1" applyFont="1" applyBorder="1" applyAlignment="1">
      <alignment vertical="center" wrapText="1" shrinkToFit="1"/>
    </xf>
    <xf numFmtId="3" fontId="11" fillId="0" borderId="62" xfId="0" applyNumberFormat="1" applyFont="1" applyBorder="1" applyAlignment="1">
      <alignment vertical="center" wrapText="1" shrinkToFit="1"/>
    </xf>
    <xf numFmtId="49" fontId="9" fillId="0" borderId="25" xfId="0" applyNumberFormat="1" applyFont="1" applyBorder="1" applyAlignment="1">
      <alignment vertical="center" wrapText="1" shrinkToFit="1"/>
    </xf>
    <xf numFmtId="49" fontId="9" fillId="0" borderId="50" xfId="0" applyNumberFormat="1" applyFont="1" applyBorder="1" applyAlignment="1">
      <alignment vertical="center" wrapText="1" shrinkToFit="1"/>
    </xf>
    <xf numFmtId="3" fontId="9" fillId="0" borderId="42" xfId="0" applyNumberFormat="1" applyFont="1" applyBorder="1" applyAlignment="1">
      <alignment vertical="center" wrapText="1" shrinkToFit="1"/>
    </xf>
    <xf numFmtId="3" fontId="9" fillId="0" borderId="15" xfId="0" applyNumberFormat="1" applyFont="1" applyBorder="1" applyAlignment="1">
      <alignment vertical="center" wrapText="1" shrinkToFit="1"/>
    </xf>
    <xf numFmtId="3" fontId="11" fillId="0" borderId="10" xfId="0" applyNumberFormat="1" applyFont="1" applyBorder="1" applyAlignment="1">
      <alignment vertical="center" wrapText="1" shrinkToFit="1"/>
    </xf>
    <xf numFmtId="3" fontId="9" fillId="0" borderId="27" xfId="0" applyNumberFormat="1" applyFont="1" applyBorder="1" applyAlignment="1">
      <alignment vertical="center" wrapText="1" shrinkToFit="1"/>
    </xf>
    <xf numFmtId="3" fontId="9" fillId="0" borderId="13" xfId="0" applyNumberFormat="1" applyFont="1" applyBorder="1" applyAlignment="1">
      <alignment vertical="center" wrapText="1" shrinkToFit="1"/>
    </xf>
    <xf numFmtId="3" fontId="9" fillId="0" borderId="20" xfId="0" applyNumberFormat="1" applyFont="1" applyBorder="1" applyAlignment="1">
      <alignment vertical="center" wrapText="1" shrinkToFit="1"/>
    </xf>
    <xf numFmtId="3" fontId="9" fillId="0" borderId="62" xfId="0" applyNumberFormat="1" applyFont="1" applyBorder="1" applyAlignment="1">
      <alignment vertical="center" wrapText="1" shrinkToFit="1"/>
    </xf>
    <xf numFmtId="3" fontId="9" fillId="0" borderId="64" xfId="0" applyNumberFormat="1" applyFont="1" applyBorder="1" applyAlignment="1">
      <alignment vertical="center" wrapText="1" shrinkToFit="1"/>
    </xf>
    <xf numFmtId="3" fontId="9" fillId="0" borderId="66" xfId="0" applyNumberFormat="1" applyFont="1" applyBorder="1" applyAlignment="1">
      <alignment vertical="center" wrapText="1" shrinkToFit="1"/>
    </xf>
    <xf numFmtId="3" fontId="9" fillId="0" borderId="25" xfId="0" applyNumberFormat="1" applyFont="1" applyBorder="1" applyAlignment="1">
      <alignment vertical="center" wrapText="1" shrinkToFit="1"/>
    </xf>
    <xf numFmtId="0" fontId="56" fillId="0" borderId="46" xfId="0" applyFont="1" applyBorder="1" applyAlignment="1" applyProtection="1">
      <alignment vertical="center" wrapText="1"/>
      <protection locked="0"/>
    </xf>
    <xf numFmtId="9" fontId="40" fillId="0" borderId="2" xfId="1" applyNumberFormat="1" applyBorder="1" applyAlignment="1">
      <alignment horizontal="center"/>
      <protection locked="0"/>
    </xf>
    <xf numFmtId="165" fontId="40" fillId="0" borderId="38" xfId="1" applyNumberFormat="1" applyBorder="1">
      <protection locked="0"/>
    </xf>
    <xf numFmtId="9" fontId="40" fillId="0" borderId="65" xfId="1" applyNumberFormat="1" applyBorder="1" applyAlignment="1">
      <alignment horizontal="center"/>
      <protection locked="0"/>
    </xf>
    <xf numFmtId="9" fontId="40" fillId="0" borderId="62" xfId="1" applyNumberFormat="1" applyBorder="1" applyAlignment="1">
      <alignment horizontal="center"/>
      <protection locked="0"/>
    </xf>
    <xf numFmtId="9" fontId="40" fillId="0" borderId="63" xfId="1" applyNumberFormat="1" applyBorder="1" applyAlignment="1">
      <alignment horizontal="center"/>
      <protection locked="0"/>
    </xf>
    <xf numFmtId="9" fontId="40" fillId="0" borderId="30" xfId="1" applyNumberFormat="1" applyBorder="1" applyAlignment="1">
      <alignment horizontal="center"/>
      <protection locked="0"/>
    </xf>
    <xf numFmtId="9" fontId="40" fillId="0" borderId="45" xfId="1" applyNumberFormat="1" applyBorder="1" applyAlignment="1">
      <alignment horizontal="center"/>
      <protection locked="0"/>
    </xf>
    <xf numFmtId="165" fontId="40" fillId="0" borderId="24" xfId="1" applyNumberFormat="1" applyBorder="1">
      <protection locked="0"/>
    </xf>
    <xf numFmtId="9" fontId="40" fillId="0" borderId="42" xfId="1" applyNumberFormat="1" applyBorder="1" applyAlignment="1">
      <alignment horizontal="center"/>
      <protection locked="0"/>
    </xf>
    <xf numFmtId="165" fontId="40" fillId="0" borderId="62" xfId="1" applyNumberFormat="1" applyBorder="1">
      <protection locked="0"/>
    </xf>
    <xf numFmtId="165" fontId="1" fillId="0" borderId="34" xfId="0" applyNumberFormat="1" applyFont="1" applyBorder="1"/>
    <xf numFmtId="165" fontId="1" fillId="0" borderId="36" xfId="0" applyNumberFormat="1" applyFont="1" applyBorder="1"/>
    <xf numFmtId="165" fontId="40" fillId="0" borderId="25" xfId="1" applyNumberFormat="1" applyBorder="1">
      <protection locked="0"/>
    </xf>
    <xf numFmtId="165" fontId="40" fillId="0" borderId="37" xfId="1" applyNumberFormat="1" applyBorder="1">
      <protection locked="0"/>
    </xf>
    <xf numFmtId="165" fontId="40" fillId="0" borderId="65" xfId="1" applyNumberFormat="1" applyBorder="1">
      <protection locked="0"/>
    </xf>
    <xf numFmtId="165" fontId="40" fillId="0" borderId="74" xfId="1" applyNumberFormat="1" applyBorder="1">
      <protection locked="0"/>
    </xf>
    <xf numFmtId="165" fontId="40" fillId="0" borderId="60" xfId="1" applyNumberFormat="1" applyBorder="1">
      <protection locked="0"/>
    </xf>
    <xf numFmtId="165" fontId="40" fillId="0" borderId="52" xfId="1" applyNumberFormat="1" applyBorder="1">
      <protection locked="0"/>
    </xf>
    <xf numFmtId="165" fontId="40" fillId="0" borderId="45" xfId="1" applyNumberFormat="1" applyBorder="1">
      <protection locked="0"/>
    </xf>
    <xf numFmtId="1" fontId="9" fillId="0" borderId="45" xfId="0" applyNumberFormat="1" applyFont="1" applyBorder="1" applyAlignment="1">
      <alignment horizontal="center" vertical="center" wrapText="1" shrinkToFit="1"/>
    </xf>
    <xf numFmtId="1" fontId="9" fillId="0" borderId="65" xfId="0" applyNumberFormat="1" applyFont="1" applyBorder="1" applyAlignment="1">
      <alignment horizontal="center" vertical="center" wrapText="1" shrinkToFit="1"/>
    </xf>
    <xf numFmtId="1" fontId="10" fillId="10" borderId="8" xfId="0" applyNumberFormat="1" applyFont="1" applyFill="1" applyBorder="1" applyAlignment="1">
      <alignment horizontal="center" vertical="center" wrapText="1" shrinkToFit="1"/>
    </xf>
    <xf numFmtId="1" fontId="10" fillId="10" borderId="48" xfId="0" applyNumberFormat="1" applyFont="1" applyFill="1" applyBorder="1" applyAlignment="1">
      <alignment horizontal="center"/>
    </xf>
    <xf numFmtId="1" fontId="10" fillId="10" borderId="53" xfId="0" applyNumberFormat="1" applyFont="1" applyFill="1" applyBorder="1" applyAlignment="1">
      <alignment horizontal="center" vertical="center" wrapText="1" shrinkToFit="1"/>
    </xf>
    <xf numFmtId="1" fontId="9" fillId="0" borderId="38" xfId="0" applyNumberFormat="1" applyFont="1" applyBorder="1" applyAlignment="1">
      <alignment horizontal="center" vertical="center" wrapText="1" shrinkToFit="1"/>
    </xf>
    <xf numFmtId="1" fontId="11" fillId="0" borderId="26" xfId="0" applyNumberFormat="1" applyFont="1" applyBorder="1" applyAlignment="1">
      <alignment horizontal="center" vertical="center" wrapText="1" shrinkToFit="1"/>
    </xf>
    <xf numFmtId="1" fontId="11" fillId="0" borderId="38" xfId="0" applyNumberFormat="1" applyFont="1" applyBorder="1" applyAlignment="1">
      <alignment horizontal="center" vertical="center" wrapText="1" shrinkToFit="1"/>
    </xf>
    <xf numFmtId="1" fontId="11" fillId="0" borderId="21" xfId="0" applyNumberFormat="1" applyFont="1" applyBorder="1" applyAlignment="1">
      <alignment horizontal="center" vertical="center" wrapText="1" shrinkToFit="1"/>
    </xf>
    <xf numFmtId="1" fontId="11" fillId="0" borderId="14" xfId="0" applyNumberFormat="1" applyFont="1" applyBorder="1" applyAlignment="1">
      <alignment horizontal="center" vertical="center" wrapText="1" shrinkToFit="1"/>
    </xf>
    <xf numFmtId="1" fontId="11" fillId="0" borderId="33" xfId="0" applyNumberFormat="1" applyFont="1" applyBorder="1" applyAlignment="1">
      <alignment horizontal="center" vertical="center" wrapText="1" shrinkToFit="1"/>
    </xf>
    <xf numFmtId="1" fontId="10" fillId="10" borderId="26" xfId="0" applyNumberFormat="1" applyFont="1" applyFill="1" applyBorder="1" applyAlignment="1">
      <alignment horizontal="center" vertical="center"/>
    </xf>
    <xf numFmtId="3" fontId="22" fillId="0" borderId="52" xfId="0" applyNumberFormat="1" applyFont="1" applyBorder="1" applyAlignment="1" applyProtection="1">
      <alignment vertical="center" wrapText="1"/>
      <protection locked="0"/>
    </xf>
    <xf numFmtId="3" fontId="9" fillId="0" borderId="52" xfId="0" applyNumberFormat="1" applyFont="1" applyBorder="1" applyAlignment="1">
      <alignment vertical="center" wrapText="1" shrinkToFit="1"/>
    </xf>
    <xf numFmtId="3" fontId="9" fillId="0" borderId="60" xfId="0" applyNumberFormat="1" applyFont="1" applyBorder="1" applyAlignment="1">
      <alignment vertical="center" wrapText="1" shrinkToFit="1"/>
    </xf>
    <xf numFmtId="3" fontId="22" fillId="0" borderId="28" xfId="0" applyNumberFormat="1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1" fontId="11" fillId="0" borderId="46" xfId="0" applyNumberFormat="1" applyFont="1" applyBorder="1" applyAlignment="1">
      <alignment horizontal="center" vertical="center" wrapText="1" shrinkToFit="1"/>
    </xf>
    <xf numFmtId="0" fontId="0" fillId="0" borderId="12" xfId="0" applyBorder="1"/>
    <xf numFmtId="3" fontId="8" fillId="0" borderId="43" xfId="0" applyNumberFormat="1" applyFont="1" applyBorder="1" applyAlignment="1">
      <alignment vertical="center" wrapText="1" shrinkToFit="1"/>
    </xf>
    <xf numFmtId="3" fontId="11" fillId="0" borderId="52" xfId="0" applyNumberFormat="1" applyFont="1" applyBorder="1" applyAlignment="1">
      <alignment vertical="center" wrapText="1" shrinkToFit="1"/>
    </xf>
    <xf numFmtId="0" fontId="20" fillId="0" borderId="64" xfId="0" applyFont="1" applyBorder="1" applyAlignment="1" applyProtection="1">
      <alignment vertical="center" wrapText="1"/>
      <protection locked="0"/>
    </xf>
    <xf numFmtId="0" fontId="22" fillId="0" borderId="65" xfId="0" applyFont="1" applyBorder="1" applyAlignment="1" applyProtection="1">
      <alignment vertical="center" wrapText="1"/>
      <protection locked="0"/>
    </xf>
    <xf numFmtId="0" fontId="20" fillId="0" borderId="46" xfId="0" applyFont="1" applyBorder="1" applyAlignment="1">
      <alignment horizontal="center" vertical="center" wrapText="1" shrinkToFit="1"/>
    </xf>
    <xf numFmtId="3" fontId="20" fillId="0" borderId="9" xfId="0" applyNumberFormat="1" applyFont="1" applyBorder="1" applyAlignment="1">
      <alignment horizontal="right" vertical="center" wrapText="1" shrinkToFit="1"/>
    </xf>
    <xf numFmtId="3" fontId="9" fillId="0" borderId="27" xfId="0" applyNumberFormat="1" applyFont="1" applyBorder="1" applyAlignment="1">
      <alignment horizontal="center" vertical="center" wrapText="1" shrinkToFit="1"/>
    </xf>
    <xf numFmtId="3" fontId="9" fillId="0" borderId="13" xfId="0" applyNumberFormat="1" applyFont="1" applyBorder="1" applyAlignment="1">
      <alignment horizontal="center" vertical="center" wrapText="1" shrinkToFit="1"/>
    </xf>
    <xf numFmtId="3" fontId="9" fillId="0" borderId="38" xfId="0" applyNumberFormat="1" applyFont="1" applyBorder="1" applyAlignment="1">
      <alignment horizontal="center" vertical="center" wrapText="1" shrinkToFit="1"/>
    </xf>
    <xf numFmtId="3" fontId="11" fillId="0" borderId="26" xfId="0" applyNumberFormat="1" applyFont="1" applyBorder="1" applyAlignment="1">
      <alignment horizontal="center" vertical="center" wrapText="1" shrinkToFit="1"/>
    </xf>
    <xf numFmtId="3" fontId="9" fillId="0" borderId="14" xfId="0" applyNumberFormat="1" applyFont="1" applyBorder="1" applyAlignment="1">
      <alignment horizontal="center" vertical="center" wrapText="1" shrinkToFit="1"/>
    </xf>
    <xf numFmtId="3" fontId="12" fillId="3" borderId="2" xfId="0" applyNumberFormat="1" applyFont="1" applyFill="1" applyBorder="1" applyAlignment="1">
      <alignment horizontal="center" vertical="center" wrapText="1" shrinkToFit="1"/>
    </xf>
    <xf numFmtId="3" fontId="57" fillId="0" borderId="0" xfId="0" applyNumberFormat="1" applyFont="1"/>
    <xf numFmtId="3" fontId="72" fillId="0" borderId="0" xfId="0" applyNumberFormat="1" applyFont="1"/>
    <xf numFmtId="0" fontId="22" fillId="0" borderId="62" xfId="0" applyFont="1" applyBorder="1" applyAlignment="1" applyProtection="1">
      <alignment vertical="center" wrapText="1"/>
      <protection locked="0"/>
    </xf>
    <xf numFmtId="9" fontId="22" fillId="0" borderId="25" xfId="0" applyNumberFormat="1" applyFont="1" applyBorder="1" applyAlignment="1" applyProtection="1">
      <alignment horizontal="center" vertical="center" wrapText="1"/>
      <protection locked="0"/>
    </xf>
    <xf numFmtId="1" fontId="9" fillId="0" borderId="26" xfId="0" applyNumberFormat="1" applyFont="1" applyBorder="1" applyAlignment="1">
      <alignment horizontal="center" vertical="center" wrapText="1" shrinkToFit="1"/>
    </xf>
    <xf numFmtId="1" fontId="9" fillId="0" borderId="33" xfId="0" applyNumberFormat="1" applyFont="1" applyBorder="1" applyAlignment="1">
      <alignment horizontal="center" vertical="center" wrapText="1" shrinkToFit="1"/>
    </xf>
    <xf numFmtId="1" fontId="9" fillId="0" borderId="21" xfId="0" applyNumberFormat="1" applyFont="1" applyBorder="1" applyAlignment="1">
      <alignment horizontal="center" vertical="center" wrapText="1" shrinkToFit="1"/>
    </xf>
    <xf numFmtId="49" fontId="9" fillId="0" borderId="24" xfId="0" applyNumberFormat="1" applyFont="1" applyBorder="1" applyAlignment="1">
      <alignment vertical="center" wrapText="1" shrinkToFit="1"/>
    </xf>
    <xf numFmtId="3" fontId="9" fillId="0" borderId="56" xfId="0" applyNumberFormat="1" applyFont="1" applyBorder="1" applyAlignment="1">
      <alignment vertical="center" wrapText="1" shrinkToFit="1"/>
    </xf>
    <xf numFmtId="49" fontId="55" fillId="0" borderId="30" xfId="0" applyNumberFormat="1" applyFont="1" applyBorder="1" applyAlignment="1">
      <alignment vertical="top" wrapText="1"/>
    </xf>
    <xf numFmtId="49" fontId="55" fillId="0" borderId="35" xfId="0" applyNumberFormat="1" applyFont="1" applyBorder="1" applyAlignment="1">
      <alignment wrapText="1"/>
    </xf>
    <xf numFmtId="3" fontId="24" fillId="0" borderId="46" xfId="0" applyNumberFormat="1" applyFont="1" applyBorder="1" applyAlignment="1" applyProtection="1">
      <alignment horizontal="right" wrapText="1"/>
      <protection locked="0"/>
    </xf>
    <xf numFmtId="3" fontId="24" fillId="0" borderId="41" xfId="0" applyNumberFormat="1" applyFont="1" applyBorder="1" applyAlignment="1" applyProtection="1">
      <alignment horizontal="right" wrapText="1"/>
      <protection locked="0"/>
    </xf>
    <xf numFmtId="3" fontId="21" fillId="0" borderId="65" xfId="1" applyNumberFormat="1" applyFont="1" applyBorder="1" applyAlignment="1">
      <alignment horizontal="center"/>
      <protection locked="0"/>
    </xf>
    <xf numFmtId="3" fontId="25" fillId="0" borderId="65" xfId="1" applyNumberFormat="1" applyFont="1" applyBorder="1" applyAlignment="1">
      <alignment horizontal="center"/>
      <protection locked="0"/>
    </xf>
    <xf numFmtId="3" fontId="21" fillId="0" borderId="10" xfId="1" applyNumberFormat="1" applyFont="1" applyBorder="1" applyAlignment="1">
      <alignment horizontal="center"/>
      <protection locked="0"/>
    </xf>
    <xf numFmtId="49" fontId="18" fillId="24" borderId="44" xfId="0" applyNumberFormat="1" applyFont="1" applyFill="1" applyBorder="1" applyAlignment="1" applyProtection="1">
      <alignment vertical="center" wrapText="1"/>
      <protection locked="0"/>
    </xf>
    <xf numFmtId="0" fontId="18" fillId="24" borderId="45" xfId="0" applyFont="1" applyFill="1" applyBorder="1" applyAlignment="1" applyProtection="1">
      <alignment vertical="center" wrapText="1"/>
      <protection locked="0"/>
    </xf>
    <xf numFmtId="3" fontId="18" fillId="24" borderId="45" xfId="0" applyNumberFormat="1" applyFont="1" applyFill="1" applyBorder="1" applyAlignment="1" applyProtection="1">
      <alignment horizontal="right" wrapText="1"/>
      <protection locked="0"/>
    </xf>
    <xf numFmtId="3" fontId="21" fillId="24" borderId="45" xfId="1" applyNumberFormat="1" applyFont="1" applyFill="1" applyBorder="1">
      <protection locked="0"/>
    </xf>
    <xf numFmtId="3" fontId="21" fillId="24" borderId="45" xfId="1" applyNumberFormat="1" applyFont="1" applyFill="1" applyBorder="1" applyAlignment="1">
      <alignment horizontal="center"/>
      <protection locked="0"/>
    </xf>
    <xf numFmtId="3" fontId="21" fillId="24" borderId="9" xfId="1" applyNumberFormat="1" applyFont="1" applyFill="1" applyBorder="1">
      <protection locked="0"/>
    </xf>
    <xf numFmtId="49" fontId="18" fillId="24" borderId="59" xfId="0" applyNumberFormat="1" applyFont="1" applyFill="1" applyBorder="1" applyAlignment="1" applyProtection="1">
      <alignment vertical="center" wrapText="1"/>
      <protection locked="0"/>
    </xf>
    <xf numFmtId="0" fontId="18" fillId="24" borderId="60" xfId="0" applyFont="1" applyFill="1" applyBorder="1" applyAlignment="1" applyProtection="1">
      <alignment vertical="center" wrapText="1"/>
      <protection locked="0"/>
    </xf>
    <xf numFmtId="3" fontId="18" fillId="24" borderId="60" xfId="0" applyNumberFormat="1" applyFont="1" applyFill="1" applyBorder="1" applyAlignment="1" applyProtection="1">
      <alignment horizontal="right" wrapText="1"/>
      <protection locked="0"/>
    </xf>
    <xf numFmtId="3" fontId="21" fillId="24" borderId="30" xfId="1" applyNumberFormat="1" applyFont="1" applyFill="1" applyBorder="1">
      <protection locked="0"/>
    </xf>
    <xf numFmtId="3" fontId="21" fillId="24" borderId="14" xfId="1" applyNumberFormat="1" applyFont="1" applyFill="1" applyBorder="1" applyAlignment="1">
      <alignment horizontal="center"/>
      <protection locked="0"/>
    </xf>
    <xf numFmtId="3" fontId="21" fillId="24" borderId="32" xfId="1" applyNumberFormat="1" applyFont="1" applyFill="1" applyBorder="1">
      <protection locked="0"/>
    </xf>
    <xf numFmtId="0" fontId="18" fillId="24" borderId="29" xfId="0" applyFont="1" applyFill="1" applyBorder="1" applyAlignment="1" applyProtection="1">
      <alignment vertical="center" wrapText="1"/>
      <protection locked="0"/>
    </xf>
    <xf numFmtId="0" fontId="18" fillId="24" borderId="30" xfId="0" applyFont="1" applyFill="1" applyBorder="1" applyAlignment="1" applyProtection="1">
      <alignment vertical="center" wrapText="1"/>
      <protection locked="0"/>
    </xf>
    <xf numFmtId="3" fontId="18" fillId="24" borderId="30" xfId="0" applyNumberFormat="1" applyFont="1" applyFill="1" applyBorder="1" applyAlignment="1" applyProtection="1">
      <alignment horizontal="right" wrapText="1"/>
      <protection locked="0"/>
    </xf>
    <xf numFmtId="3" fontId="21" fillId="24" borderId="12" xfId="1" applyNumberFormat="1" applyFont="1" applyFill="1" applyBorder="1">
      <protection locked="0"/>
    </xf>
    <xf numFmtId="49" fontId="18" fillId="24" borderId="29" xfId="0" applyNumberFormat="1" applyFont="1" applyFill="1" applyBorder="1" applyAlignment="1" applyProtection="1">
      <alignment vertical="center" wrapText="1"/>
      <protection locked="0"/>
    </xf>
    <xf numFmtId="3" fontId="36" fillId="24" borderId="30" xfId="1" applyNumberFormat="1" applyFont="1" applyFill="1" applyBorder="1">
      <protection locked="0"/>
    </xf>
    <xf numFmtId="0" fontId="18" fillId="24" borderId="44" xfId="0" applyFont="1" applyFill="1" applyBorder="1" applyAlignment="1" applyProtection="1">
      <alignment vertical="center" wrapText="1"/>
      <protection locked="0"/>
    </xf>
    <xf numFmtId="3" fontId="20" fillId="0" borderId="65" xfId="1" applyNumberFormat="1" applyFont="1" applyBorder="1" applyAlignment="1">
      <alignment horizontal="center"/>
      <protection locked="0"/>
    </xf>
    <xf numFmtId="3" fontId="18" fillId="16" borderId="48" xfId="0" applyNumberFormat="1" applyFont="1" applyFill="1" applyBorder="1" applyAlignment="1" applyProtection="1">
      <alignment vertical="center" wrapText="1"/>
      <protection locked="0"/>
    </xf>
    <xf numFmtId="3" fontId="18" fillId="16" borderId="48" xfId="0" applyNumberFormat="1" applyFont="1" applyFill="1" applyBorder="1" applyAlignment="1" applyProtection="1">
      <alignment horizontal="center" vertical="center" wrapText="1"/>
      <protection locked="0"/>
    </xf>
    <xf numFmtId="3" fontId="18" fillId="16" borderId="2" xfId="0" applyNumberFormat="1" applyFont="1" applyFill="1" applyBorder="1" applyAlignment="1" applyProtection="1">
      <alignment vertical="center" wrapText="1"/>
      <protection locked="0"/>
    </xf>
    <xf numFmtId="3" fontId="18" fillId="16" borderId="49" xfId="0" applyNumberFormat="1" applyFont="1" applyFill="1" applyBorder="1" applyAlignment="1" applyProtection="1">
      <alignment horizontal="right" wrapText="1"/>
      <protection locked="0"/>
    </xf>
    <xf numFmtId="3" fontId="21" fillId="16" borderId="48" xfId="1" applyNumberFormat="1" applyFont="1" applyFill="1" applyBorder="1" applyAlignment="1">
      <alignment horizontal="center"/>
      <protection locked="0"/>
    </xf>
    <xf numFmtId="3" fontId="21" fillId="16" borderId="2" xfId="1" applyNumberFormat="1" applyFont="1" applyFill="1" applyBorder="1">
      <protection locked="0"/>
    </xf>
    <xf numFmtId="3" fontId="18" fillId="16" borderId="52" xfId="0" applyNumberFormat="1" applyFont="1" applyFill="1" applyBorder="1" applyAlignment="1" applyProtection="1">
      <alignment vertical="center" wrapText="1"/>
      <protection locked="0"/>
    </xf>
    <xf numFmtId="3" fontId="18" fillId="16" borderId="52" xfId="0" applyNumberFormat="1" applyFont="1" applyFill="1" applyBorder="1" applyAlignment="1" applyProtection="1">
      <alignment horizontal="center" vertical="center" wrapText="1"/>
      <protection locked="0"/>
    </xf>
    <xf numFmtId="3" fontId="21" fillId="16" borderId="1" xfId="2" applyNumberFormat="1" applyFont="1" applyFill="1" applyBorder="1" applyAlignment="1" applyProtection="1">
      <alignment vertical="center"/>
    </xf>
    <xf numFmtId="3" fontId="18" fillId="16" borderId="63" xfId="0" applyNumberFormat="1" applyFont="1" applyFill="1" applyBorder="1" applyAlignment="1" applyProtection="1">
      <alignment horizontal="right" vertical="center" wrapText="1"/>
      <protection locked="0"/>
    </xf>
    <xf numFmtId="3" fontId="18" fillId="16" borderId="1" xfId="0" applyNumberFormat="1" applyFont="1" applyFill="1" applyBorder="1" applyAlignment="1" applyProtection="1">
      <alignment vertical="center" wrapText="1"/>
      <protection locked="0"/>
    </xf>
    <xf numFmtId="0" fontId="18" fillId="16" borderId="49" xfId="0" applyFont="1" applyFill="1" applyBorder="1" applyAlignment="1" applyProtection="1">
      <alignment horizontal="right" vertical="center" wrapText="1"/>
      <protection locked="0"/>
    </xf>
    <xf numFmtId="3" fontId="18" fillId="16" borderId="49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41" xfId="0" applyFont="1" applyBorder="1" applyAlignment="1" applyProtection="1">
      <alignment horizontal="center" vertical="center" wrapText="1"/>
      <protection locked="0"/>
    </xf>
    <xf numFmtId="3" fontId="22" fillId="0" borderId="65" xfId="0" applyNumberFormat="1" applyFont="1" applyBorder="1" applyAlignment="1" applyProtection="1">
      <alignment vertical="center" wrapText="1"/>
      <protection locked="0"/>
    </xf>
    <xf numFmtId="171" fontId="22" fillId="0" borderId="64" xfId="0" applyNumberFormat="1" applyFont="1" applyBorder="1" applyAlignment="1" applyProtection="1">
      <alignment horizontal="center" vertical="center" wrapText="1"/>
      <protection locked="0"/>
    </xf>
    <xf numFmtId="3" fontId="65" fillId="0" borderId="0" xfId="0" applyNumberFormat="1" applyFont="1"/>
    <xf numFmtId="3" fontId="73" fillId="0" borderId="0" xfId="0" applyNumberFormat="1" applyFont="1"/>
    <xf numFmtId="3" fontId="74" fillId="0" borderId="0" xfId="0" applyNumberFormat="1" applyFont="1"/>
    <xf numFmtId="49" fontId="22" fillId="17" borderId="16" xfId="0" applyNumberFormat="1" applyFont="1" applyFill="1" applyBorder="1" applyAlignment="1" applyProtection="1">
      <alignment vertical="center" wrapText="1"/>
      <protection locked="0"/>
    </xf>
    <xf numFmtId="10" fontId="20" fillId="0" borderId="30" xfId="0" applyNumberFormat="1" applyFont="1" applyBorder="1" applyAlignment="1">
      <alignment horizontal="center" vertical="center" wrapText="1" shrinkToFit="1"/>
    </xf>
    <xf numFmtId="3" fontId="22" fillId="2" borderId="60" xfId="0" applyNumberFormat="1" applyFont="1" applyFill="1" applyBorder="1" applyAlignment="1" applyProtection="1">
      <alignment vertical="center" wrapText="1"/>
      <protection locked="0"/>
    </xf>
    <xf numFmtId="3" fontId="22" fillId="2" borderId="43" xfId="0" applyNumberFormat="1" applyFont="1" applyFill="1" applyBorder="1" applyAlignment="1" applyProtection="1">
      <alignment vertical="center" wrapText="1"/>
      <protection locked="0"/>
    </xf>
    <xf numFmtId="0" fontId="21" fillId="12" borderId="21" xfId="0" applyFont="1" applyFill="1" applyBorder="1" applyAlignment="1">
      <alignment horizontal="center" vertical="center" wrapText="1" shrinkToFit="1"/>
    </xf>
    <xf numFmtId="3" fontId="24" fillId="0" borderId="30" xfId="0" applyNumberFormat="1" applyFont="1" applyBorder="1" applyAlignment="1" applyProtection="1">
      <alignment vertical="center" wrapText="1"/>
      <protection locked="0"/>
    </xf>
    <xf numFmtId="0" fontId="22" fillId="25" borderId="30" xfId="0" applyFont="1" applyFill="1" applyBorder="1" applyAlignment="1" applyProtection="1">
      <alignment vertical="center" wrapText="1"/>
      <protection locked="0"/>
    </xf>
    <xf numFmtId="3" fontId="22" fillId="25" borderId="30" xfId="0" applyNumberFormat="1" applyFont="1" applyFill="1" applyBorder="1" applyAlignment="1" applyProtection="1">
      <alignment vertical="center" wrapText="1"/>
      <protection locked="0"/>
    </xf>
    <xf numFmtId="3" fontId="22" fillId="25" borderId="14" xfId="0" applyNumberFormat="1" applyFont="1" applyFill="1" applyBorder="1" applyAlignment="1" applyProtection="1">
      <alignment vertical="center" wrapText="1"/>
      <protection locked="0"/>
    </xf>
    <xf numFmtId="3" fontId="22" fillId="0" borderId="13" xfId="0" applyNumberFormat="1" applyFont="1" applyBorder="1" applyAlignment="1" applyProtection="1">
      <alignment vertical="center" wrapText="1"/>
      <protection locked="0"/>
    </xf>
    <xf numFmtId="0" fontId="22" fillId="25" borderId="41" xfId="0" applyFont="1" applyFill="1" applyBorder="1" applyAlignment="1" applyProtection="1">
      <alignment vertical="center" wrapText="1"/>
      <protection locked="0"/>
    </xf>
    <xf numFmtId="0" fontId="22" fillId="25" borderId="15" xfId="0" applyFont="1" applyFill="1" applyBorder="1" applyAlignment="1" applyProtection="1">
      <alignment vertical="center" wrapText="1"/>
      <protection locked="0"/>
    </xf>
    <xf numFmtId="3" fontId="22" fillId="25" borderId="13" xfId="0" applyNumberFormat="1" applyFont="1" applyFill="1" applyBorder="1" applyAlignment="1" applyProtection="1">
      <alignment vertical="center" wrapText="1"/>
      <protection locked="0"/>
    </xf>
    <xf numFmtId="0" fontId="18" fillId="0" borderId="64" xfId="0" applyFont="1" applyBorder="1" applyAlignment="1" applyProtection="1">
      <alignment vertical="center" wrapText="1"/>
      <protection locked="0"/>
    </xf>
    <xf numFmtId="0" fontId="22" fillId="17" borderId="58" xfId="0" applyFont="1" applyFill="1" applyBorder="1" applyAlignment="1" applyProtection="1">
      <alignment vertical="center" wrapText="1"/>
      <protection locked="0"/>
    </xf>
    <xf numFmtId="0" fontId="22" fillId="17" borderId="72" xfId="0" applyFont="1" applyFill="1" applyBorder="1" applyAlignment="1" applyProtection="1">
      <alignment vertical="center" wrapText="1"/>
      <protection locked="0"/>
    </xf>
    <xf numFmtId="0" fontId="0" fillId="0" borderId="30" xfId="0" applyBorder="1"/>
    <xf numFmtId="3" fontId="0" fillId="0" borderId="0" xfId="0" applyNumberFormat="1" applyAlignment="1">
      <alignment horizontal="center"/>
    </xf>
    <xf numFmtId="3" fontId="21" fillId="0" borderId="14" xfId="0" applyNumberFormat="1" applyFont="1" applyBorder="1" applyAlignment="1">
      <alignment horizontal="right" vertical="center" wrapText="1" shrinkToFit="1"/>
    </xf>
    <xf numFmtId="0" fontId="22" fillId="17" borderId="29" xfId="0" applyFont="1" applyFill="1" applyBorder="1" applyAlignment="1" applyProtection="1">
      <alignment vertical="center" wrapText="1"/>
      <protection locked="0"/>
    </xf>
    <xf numFmtId="3" fontId="22" fillId="17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17" borderId="14" xfId="2" applyNumberFormat="1" applyFont="1" applyFill="1" applyBorder="1" applyProtection="1"/>
    <xf numFmtId="0" fontId="0" fillId="17" borderId="58" xfId="0" applyFill="1" applyBorder="1"/>
    <xf numFmtId="0" fontId="0" fillId="17" borderId="25" xfId="0" applyFill="1" applyBorder="1"/>
    <xf numFmtId="3" fontId="43" fillId="0" borderId="0" xfId="0" applyNumberFormat="1" applyFont="1"/>
    <xf numFmtId="3" fontId="26" fillId="0" borderId="10" xfId="0" applyNumberFormat="1" applyFont="1" applyBorder="1"/>
    <xf numFmtId="49" fontId="22" fillId="0" borderId="30" xfId="0" applyNumberFormat="1" applyFont="1" applyBorder="1" applyAlignment="1" applyProtection="1">
      <alignment horizontal="left" vertical="center" wrapText="1"/>
      <protection locked="0"/>
    </xf>
    <xf numFmtId="3" fontId="18" fillId="4" borderId="30" xfId="0" applyNumberFormat="1" applyFont="1" applyFill="1" applyBorder="1" applyAlignment="1" applyProtection="1">
      <alignment vertical="center" wrapText="1"/>
      <protection locked="0"/>
    </xf>
    <xf numFmtId="9" fontId="53" fillId="0" borderId="39" xfId="1" applyNumberFormat="1" applyFont="1" applyBorder="1" applyAlignment="1">
      <alignment horizontal="center"/>
      <protection locked="0"/>
    </xf>
    <xf numFmtId="9" fontId="53" fillId="0" borderId="2" xfId="1" applyNumberFormat="1" applyFont="1" applyBorder="1" applyAlignment="1">
      <alignment horizontal="center"/>
      <protection locked="0"/>
    </xf>
    <xf numFmtId="165" fontId="53" fillId="0" borderId="76" xfId="1" applyNumberFormat="1" applyFont="1" applyBorder="1">
      <protection locked="0"/>
    </xf>
    <xf numFmtId="9" fontId="0" fillId="0" borderId="78" xfId="1" applyNumberFormat="1" applyFont="1" applyBorder="1" applyAlignment="1">
      <alignment horizontal="center"/>
      <protection locked="0"/>
    </xf>
    <xf numFmtId="0" fontId="2" fillId="3" borderId="4" xfId="0" applyFont="1" applyFill="1" applyBorder="1"/>
    <xf numFmtId="165" fontId="53" fillId="0" borderId="7" xfId="1" applyNumberFormat="1" applyFont="1" applyBorder="1">
      <protection locked="0"/>
    </xf>
    <xf numFmtId="3" fontId="20" fillId="0" borderId="64" xfId="0" applyNumberFormat="1" applyFont="1" applyBorder="1" applyAlignment="1" applyProtection="1">
      <alignment vertical="center" wrapText="1"/>
      <protection locked="0"/>
    </xf>
    <xf numFmtId="3" fontId="20" fillId="0" borderId="64" xfId="0" applyNumberFormat="1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Border="1" applyAlignment="1" applyProtection="1">
      <alignment vertical="center" wrapText="1"/>
      <protection locked="0"/>
    </xf>
    <xf numFmtId="3" fontId="20" fillId="17" borderId="45" xfId="0" applyNumberFormat="1" applyFont="1" applyFill="1" applyBorder="1" applyAlignment="1" applyProtection="1">
      <alignment vertical="center" wrapText="1"/>
      <protection locked="0"/>
    </xf>
    <xf numFmtId="3" fontId="20" fillId="17" borderId="30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" xfId="0" applyNumberFormat="1" applyFont="1" applyBorder="1" applyAlignment="1">
      <alignment vertical="center" wrapText="1" shrinkToFit="1"/>
    </xf>
    <xf numFmtId="3" fontId="9" fillId="0" borderId="69" xfId="0" applyNumberFormat="1" applyFont="1" applyBorder="1" applyAlignment="1">
      <alignment vertical="center" wrapText="1" shrinkToFit="1"/>
    </xf>
    <xf numFmtId="3" fontId="20" fillId="0" borderId="30" xfId="1" applyNumberFormat="1" applyFont="1" applyBorder="1" applyAlignment="1">
      <alignment horizontal="center"/>
      <protection locked="0"/>
    </xf>
    <xf numFmtId="3" fontId="22" fillId="0" borderId="47" xfId="0" applyNumberFormat="1" applyFont="1" applyBorder="1" applyAlignment="1" applyProtection="1">
      <alignment vertical="center" wrapText="1"/>
      <protection locked="0"/>
    </xf>
    <xf numFmtId="3" fontId="22" fillId="0" borderId="17" xfId="0" applyNumberFormat="1" applyFont="1" applyBorder="1" applyAlignment="1" applyProtection="1">
      <alignment horizontal="right" vertical="center" wrapText="1"/>
      <protection locked="0"/>
    </xf>
    <xf numFmtId="3" fontId="18" fillId="17" borderId="28" xfId="0" applyNumberFormat="1" applyFont="1" applyFill="1" applyBorder="1" applyAlignment="1" applyProtection="1">
      <alignment vertical="center" wrapText="1"/>
      <protection locked="0"/>
    </xf>
    <xf numFmtId="3" fontId="18" fillId="25" borderId="13" xfId="0" applyNumberFormat="1" applyFont="1" applyFill="1" applyBorder="1" applyAlignment="1" applyProtection="1">
      <alignment vertical="center" wrapText="1"/>
      <protection locked="0"/>
    </xf>
    <xf numFmtId="3" fontId="22" fillId="0" borderId="25" xfId="0" applyNumberFormat="1" applyFont="1" applyBorder="1" applyAlignment="1" applyProtection="1">
      <alignment horizontal="center" vertical="center" wrapText="1"/>
      <protection locked="0"/>
    </xf>
    <xf numFmtId="3" fontId="18" fillId="0" borderId="28" xfId="0" applyNumberFormat="1" applyFont="1" applyBorder="1" applyAlignment="1" applyProtection="1">
      <alignment vertical="center" wrapText="1"/>
      <protection locked="0"/>
    </xf>
    <xf numFmtId="0" fontId="20" fillId="0" borderId="67" xfId="0" applyFont="1" applyBorder="1" applyAlignment="1" applyProtection="1">
      <alignment vertical="center" wrapText="1"/>
      <protection locked="0"/>
    </xf>
    <xf numFmtId="3" fontId="22" fillId="0" borderId="78" xfId="0" applyNumberFormat="1" applyFont="1" applyBorder="1" applyAlignment="1" applyProtection="1">
      <alignment horizontal="right" vertical="center" wrapText="1"/>
      <protection locked="0"/>
    </xf>
    <xf numFmtId="3" fontId="22" fillId="0" borderId="60" xfId="0" applyNumberFormat="1" applyFont="1" applyBorder="1" applyAlignment="1" applyProtection="1">
      <alignment horizontal="center" vertical="center" wrapText="1"/>
      <protection locked="0"/>
    </xf>
    <xf numFmtId="3" fontId="75" fillId="0" borderId="0" xfId="0" applyNumberFormat="1" applyFont="1"/>
    <xf numFmtId="3" fontId="76" fillId="0" borderId="0" xfId="0" applyNumberFormat="1" applyFont="1"/>
    <xf numFmtId="3" fontId="76" fillId="0" borderId="10" xfId="0" applyNumberFormat="1" applyFont="1" applyBorder="1"/>
    <xf numFmtId="3" fontId="20" fillId="0" borderId="9" xfId="2" applyNumberFormat="1" applyFont="1" applyBorder="1" applyProtection="1"/>
    <xf numFmtId="0" fontId="21" fillId="6" borderId="35" xfId="0" applyFont="1" applyFill="1" applyBorder="1" applyAlignment="1">
      <alignment horizontal="center" vertical="center" wrapText="1" shrinkToFit="1"/>
    </xf>
    <xf numFmtId="0" fontId="21" fillId="6" borderId="33" xfId="0" applyFont="1" applyFill="1" applyBorder="1" applyAlignment="1">
      <alignment horizontal="center" vertical="center" wrapText="1" shrinkToFit="1"/>
    </xf>
    <xf numFmtId="3" fontId="22" fillId="0" borderId="55" xfId="0" applyNumberFormat="1" applyFont="1" applyBorder="1" applyAlignment="1" applyProtection="1">
      <alignment horizontal="center" vertical="center" wrapText="1"/>
      <protection locked="0"/>
    </xf>
    <xf numFmtId="1" fontId="11" fillId="0" borderId="27" xfId="0" applyNumberFormat="1" applyFont="1" applyBorder="1" applyAlignment="1">
      <alignment horizontal="center" vertical="center" wrapText="1" shrinkToFit="1"/>
    </xf>
    <xf numFmtId="3" fontId="8" fillId="0" borderId="30" xfId="0" applyNumberFormat="1" applyFont="1" applyBorder="1" applyAlignment="1">
      <alignment vertical="center" wrapText="1" shrinkToFit="1"/>
    </xf>
    <xf numFmtId="3" fontId="11" fillId="0" borderId="56" xfId="0" applyNumberFormat="1" applyFont="1" applyBorder="1" applyAlignment="1">
      <alignment vertical="center" wrapText="1" shrinkToFit="1"/>
    </xf>
    <xf numFmtId="3" fontId="10" fillId="10" borderId="7" xfId="0" applyNumberFormat="1" applyFont="1" applyFill="1" applyBorder="1" applyAlignment="1">
      <alignment horizontal="center" vertical="center" wrapText="1" shrinkToFit="1"/>
    </xf>
    <xf numFmtId="3" fontId="10" fillId="10" borderId="49" xfId="0" applyNumberFormat="1" applyFont="1" applyFill="1" applyBorder="1" applyAlignment="1">
      <alignment vertical="center" wrapText="1" shrinkToFit="1"/>
    </xf>
    <xf numFmtId="3" fontId="11" fillId="10" borderId="49" xfId="0" applyNumberFormat="1" applyFont="1" applyFill="1" applyBorder="1" applyAlignment="1">
      <alignment vertical="center" wrapText="1" shrinkToFit="1"/>
    </xf>
    <xf numFmtId="0" fontId="22" fillId="0" borderId="18" xfId="0" applyFont="1" applyBorder="1" applyAlignment="1" applyProtection="1">
      <alignment vertical="center" wrapText="1"/>
      <protection locked="0"/>
    </xf>
    <xf numFmtId="0" fontId="22" fillId="0" borderId="50" xfId="0" applyFont="1" applyBorder="1" applyAlignment="1" applyProtection="1">
      <alignment vertical="center" wrapText="1"/>
      <protection locked="0"/>
    </xf>
    <xf numFmtId="3" fontId="22" fillId="0" borderId="65" xfId="0" applyNumberFormat="1" applyFont="1" applyBorder="1" applyAlignment="1" applyProtection="1">
      <alignment horizontal="right" vertical="center" wrapText="1"/>
      <protection locked="0"/>
    </xf>
    <xf numFmtId="49" fontId="20" fillId="0" borderId="34" xfId="0" applyNumberFormat="1" applyFont="1" applyBorder="1" applyAlignment="1" applyProtection="1">
      <alignment vertical="center" wrapText="1"/>
      <protection locked="0"/>
    </xf>
    <xf numFmtId="0" fontId="20" fillId="0" borderId="35" xfId="0" applyFont="1" applyBorder="1" applyAlignment="1" applyProtection="1">
      <alignment vertical="center" wrapText="1"/>
      <protection locked="0"/>
    </xf>
    <xf numFmtId="3" fontId="20" fillId="0" borderId="35" xfId="0" applyNumberFormat="1" applyFont="1" applyBorder="1" applyAlignment="1" applyProtection="1">
      <alignment vertical="center" wrapText="1"/>
      <protection locked="0"/>
    </xf>
    <xf numFmtId="3" fontId="21" fillId="0" borderId="21" xfId="0" applyNumberFormat="1" applyFont="1" applyBorder="1" applyAlignment="1" applyProtection="1">
      <alignment vertical="center" wrapText="1"/>
      <protection locked="0"/>
    </xf>
    <xf numFmtId="0" fontId="8" fillId="6" borderId="56" xfId="0" applyFont="1" applyFill="1" applyBorder="1" applyAlignment="1">
      <alignment horizontal="center" vertical="center" wrapText="1" shrinkToFit="1"/>
    </xf>
    <xf numFmtId="0" fontId="28" fillId="6" borderId="76" xfId="0" applyFont="1" applyFill="1" applyBorder="1" applyAlignment="1">
      <alignment horizontal="center" vertical="center"/>
    </xf>
    <xf numFmtId="0" fontId="19" fillId="20" borderId="76" xfId="0" applyFont="1" applyFill="1" applyBorder="1" applyAlignment="1">
      <alignment horizontal="center" vertical="center"/>
    </xf>
    <xf numFmtId="3" fontId="21" fillId="24" borderId="28" xfId="1" applyNumberFormat="1" applyFont="1" applyFill="1" applyBorder="1" applyAlignment="1">
      <alignment horizontal="center"/>
      <protection locked="0"/>
    </xf>
    <xf numFmtId="3" fontId="25" fillId="0" borderId="15" xfId="1" applyNumberFormat="1" applyFont="1" applyBorder="1" applyAlignment="1">
      <alignment horizontal="center"/>
      <protection locked="0"/>
    </xf>
    <xf numFmtId="3" fontId="20" fillId="0" borderId="10" xfId="1" applyNumberFormat="1" applyFont="1" applyBorder="1" applyAlignment="1">
      <alignment horizontal="center"/>
      <protection locked="0"/>
    </xf>
    <xf numFmtId="3" fontId="24" fillId="0" borderId="45" xfId="0" applyNumberFormat="1" applyFont="1" applyBorder="1" applyAlignment="1" applyProtection="1">
      <alignment horizontal="right" wrapText="1"/>
      <protection locked="0"/>
    </xf>
    <xf numFmtId="3" fontId="22" fillId="0" borderId="45" xfId="0" applyNumberFormat="1" applyFont="1" applyBorder="1" applyAlignment="1" applyProtection="1">
      <alignment horizontal="right" wrapText="1"/>
      <protection locked="0"/>
    </xf>
    <xf numFmtId="3" fontId="20" fillId="0" borderId="9" xfId="1" applyNumberFormat="1" applyFont="1" applyBorder="1">
      <protection locked="0"/>
    </xf>
    <xf numFmtId="0" fontId="22" fillId="0" borderId="24" xfId="0" applyFont="1" applyBorder="1" applyAlignment="1" applyProtection="1">
      <alignment vertical="center" wrapText="1"/>
      <protection locked="0"/>
    </xf>
    <xf numFmtId="3" fontId="18" fillId="24" borderId="45" xfId="0" applyNumberFormat="1" applyFont="1" applyFill="1" applyBorder="1" applyAlignment="1" applyProtection="1">
      <alignment horizontal="center" wrapText="1"/>
      <protection locked="0"/>
    </xf>
    <xf numFmtId="0" fontId="22" fillId="0" borderId="48" xfId="0" applyFont="1" applyBorder="1" applyAlignment="1" applyProtection="1">
      <alignment vertical="center" wrapText="1"/>
      <protection locked="0"/>
    </xf>
    <xf numFmtId="168" fontId="20" fillId="0" borderId="48" xfId="2" applyNumberFormat="1" applyFont="1" applyBorder="1" applyAlignment="1" applyProtection="1">
      <alignment vertical="center"/>
    </xf>
    <xf numFmtId="3" fontId="22" fillId="17" borderId="26" xfId="0" applyNumberFormat="1" applyFont="1" applyFill="1" applyBorder="1" applyAlignment="1" applyProtection="1">
      <alignment vertical="center" wrapText="1"/>
      <protection locked="0"/>
    </xf>
    <xf numFmtId="0" fontId="22" fillId="0" borderId="13" xfId="0" applyFont="1" applyBorder="1" applyAlignment="1" applyProtection="1">
      <alignment vertical="center" wrapText="1"/>
      <protection locked="0"/>
    </xf>
    <xf numFmtId="3" fontId="68" fillId="0" borderId="0" xfId="0" applyNumberFormat="1" applyFont="1" applyAlignment="1">
      <alignment horizontal="center"/>
    </xf>
    <xf numFmtId="3" fontId="20" fillId="0" borderId="32" xfId="2" applyNumberFormat="1" applyFont="1" applyBorder="1" applyProtection="1"/>
    <xf numFmtId="3" fontId="22" fillId="2" borderId="25" xfId="0" applyNumberFormat="1" applyFont="1" applyFill="1" applyBorder="1" applyAlignment="1" applyProtection="1">
      <alignment vertical="center" wrapText="1"/>
      <protection locked="0"/>
    </xf>
    <xf numFmtId="3" fontId="22" fillId="2" borderId="26" xfId="0" applyNumberFormat="1" applyFont="1" applyFill="1" applyBorder="1" applyAlignment="1" applyProtection="1">
      <alignment vertical="center" wrapText="1"/>
      <protection locked="0"/>
    </xf>
    <xf numFmtId="0" fontId="22" fillId="17" borderId="50" xfId="0" applyFont="1" applyFill="1" applyBorder="1" applyAlignment="1" applyProtection="1">
      <alignment vertical="center" wrapText="1"/>
      <protection locked="0"/>
    </xf>
    <xf numFmtId="0" fontId="0" fillId="17" borderId="18" xfId="0" applyFill="1" applyBorder="1" applyAlignment="1">
      <alignment vertical="center" wrapText="1"/>
    </xf>
    <xf numFmtId="0" fontId="0" fillId="17" borderId="67" xfId="0" applyFill="1" applyBorder="1" applyAlignment="1">
      <alignment vertical="center" wrapText="1"/>
    </xf>
    <xf numFmtId="9" fontId="0" fillId="17" borderId="18" xfId="0" applyNumberFormat="1" applyFill="1" applyBorder="1" applyAlignment="1">
      <alignment vertical="center" wrapText="1"/>
    </xf>
    <xf numFmtId="3" fontId="12" fillId="3" borderId="39" xfId="0" applyNumberFormat="1" applyFont="1" applyFill="1" applyBorder="1" applyAlignment="1">
      <alignment horizontal="center" vertical="center" wrapText="1" shrinkToFit="1"/>
    </xf>
    <xf numFmtId="1" fontId="10" fillId="10" borderId="75" xfId="0" applyNumberFormat="1" applyFont="1" applyFill="1" applyBorder="1" applyAlignment="1">
      <alignment horizontal="center" vertical="center" wrapText="1" shrinkToFit="1"/>
    </xf>
    <xf numFmtId="1" fontId="10" fillId="10" borderId="75" xfId="0" applyNumberFormat="1" applyFont="1" applyFill="1" applyBorder="1" applyAlignment="1">
      <alignment horizontal="center" vertical="center"/>
    </xf>
    <xf numFmtId="3" fontId="10" fillId="10" borderId="48" xfId="0" applyNumberFormat="1" applyFont="1" applyFill="1" applyBorder="1" applyAlignment="1">
      <alignment vertical="center"/>
    </xf>
    <xf numFmtId="0" fontId="8" fillId="6" borderId="74" xfId="0" applyFont="1" applyFill="1" applyBorder="1" applyAlignment="1">
      <alignment horizontal="center" vertical="center" wrapText="1" shrinkToFit="1"/>
    </xf>
    <xf numFmtId="3" fontId="11" fillId="0" borderId="67" xfId="0" applyNumberFormat="1" applyFont="1" applyBorder="1" applyAlignment="1">
      <alignment vertical="center" wrapText="1" shrinkToFit="1"/>
    </xf>
    <xf numFmtId="3" fontId="11" fillId="0" borderId="64" xfId="0" applyNumberFormat="1" applyFont="1" applyBorder="1" applyAlignment="1">
      <alignment horizontal="right" vertical="center" wrapText="1" shrinkToFit="1"/>
    </xf>
    <xf numFmtId="3" fontId="32" fillId="0" borderId="64" xfId="0" applyNumberFormat="1" applyFont="1" applyBorder="1" applyAlignment="1">
      <alignment horizontal="right" vertical="center" wrapText="1" shrinkToFit="1"/>
    </xf>
    <xf numFmtId="3" fontId="11" fillId="0" borderId="65" xfId="0" applyNumberFormat="1" applyFont="1" applyBorder="1" applyAlignment="1">
      <alignment horizontal="right" vertical="center" wrapText="1" shrinkToFit="1"/>
    </xf>
    <xf numFmtId="3" fontId="9" fillId="0" borderId="62" xfId="0" applyNumberFormat="1" applyFont="1" applyBorder="1" applyAlignment="1">
      <alignment horizontal="right" vertical="center" wrapText="1" shrinkToFit="1"/>
    </xf>
    <xf numFmtId="3" fontId="9" fillId="0" borderId="64" xfId="0" applyNumberFormat="1" applyFont="1" applyBorder="1" applyAlignment="1">
      <alignment horizontal="right" vertical="center" wrapText="1" shrinkToFit="1"/>
    </xf>
    <xf numFmtId="3" fontId="10" fillId="10" borderId="49" xfId="0" applyNumberFormat="1" applyFont="1" applyFill="1" applyBorder="1" applyAlignment="1">
      <alignment vertical="center"/>
    </xf>
    <xf numFmtId="3" fontId="17" fillId="9" borderId="7" xfId="0" applyNumberFormat="1" applyFont="1" applyFill="1" applyBorder="1"/>
    <xf numFmtId="49" fontId="9" fillId="0" borderId="28" xfId="0" applyNumberFormat="1" applyFont="1" applyBorder="1" applyAlignment="1">
      <alignment vertical="center" wrapText="1" shrinkToFit="1"/>
    </xf>
    <xf numFmtId="49" fontId="9" fillId="0" borderId="14" xfId="0" applyNumberFormat="1" applyFont="1" applyBorder="1" applyAlignment="1">
      <alignment vertical="center" wrapText="1" shrinkToFit="1"/>
    </xf>
    <xf numFmtId="49" fontId="9" fillId="0" borderId="21" xfId="0" applyNumberFormat="1" applyFont="1" applyBorder="1" applyAlignment="1">
      <alignment vertical="center" wrapText="1" shrinkToFit="1"/>
    </xf>
    <xf numFmtId="49" fontId="32" fillId="0" borderId="14" xfId="0" applyNumberFormat="1" applyFont="1" applyBorder="1" applyAlignment="1">
      <alignment vertical="center" wrapText="1" shrinkToFit="1"/>
    </xf>
    <xf numFmtId="49" fontId="11" fillId="0" borderId="71" xfId="0" applyNumberFormat="1" applyFont="1" applyBorder="1" applyAlignment="1">
      <alignment horizontal="left" vertical="center" wrapText="1" shrinkToFit="1"/>
    </xf>
    <xf numFmtId="49" fontId="9" fillId="0" borderId="38" xfId="0" applyNumberFormat="1" applyFont="1" applyBorder="1" applyAlignment="1">
      <alignment vertical="center" wrapText="1" shrinkToFit="1"/>
    </xf>
    <xf numFmtId="49" fontId="9" fillId="0" borderId="26" xfId="0" applyNumberFormat="1" applyFont="1" applyBorder="1" applyAlignment="1">
      <alignment vertical="center" wrapText="1" shrinkToFit="1"/>
    </xf>
    <xf numFmtId="49" fontId="10" fillId="10" borderId="7" xfId="0" applyNumberFormat="1" applyFont="1" applyFill="1" applyBorder="1" applyAlignment="1">
      <alignment horizontal="left" vertical="center" wrapText="1" shrinkToFit="1"/>
    </xf>
    <xf numFmtId="49" fontId="10" fillId="10" borderId="7" xfId="0" applyNumberFormat="1" applyFont="1" applyFill="1" applyBorder="1" applyAlignment="1">
      <alignment vertical="center" wrapText="1" shrinkToFit="1"/>
    </xf>
    <xf numFmtId="49" fontId="10" fillId="10" borderId="71" xfId="0" applyNumberFormat="1" applyFont="1" applyFill="1" applyBorder="1" applyAlignment="1">
      <alignment vertical="center" wrapText="1" shrinkToFit="1"/>
    </xf>
    <xf numFmtId="49" fontId="10" fillId="10" borderId="13" xfId="0" applyNumberFormat="1" applyFont="1" applyFill="1" applyBorder="1" applyAlignment="1">
      <alignment vertical="center" wrapText="1" shrinkToFit="1"/>
    </xf>
    <xf numFmtId="49" fontId="10" fillId="10" borderId="80" xfId="0" applyNumberFormat="1" applyFont="1" applyFill="1" applyBorder="1" applyAlignment="1">
      <alignment vertical="center" wrapText="1" shrinkToFit="1"/>
    </xf>
    <xf numFmtId="0" fontId="0" fillId="0" borderId="0" xfId="0" applyAlignment="1">
      <alignment horizontal="center"/>
    </xf>
    <xf numFmtId="3" fontId="10" fillId="10" borderId="32" xfId="0" applyNumberFormat="1" applyFont="1" applyFill="1" applyBorder="1" applyAlignment="1">
      <alignment vertical="center" wrapText="1" shrinkToFit="1"/>
    </xf>
    <xf numFmtId="3" fontId="10" fillId="10" borderId="40" xfId="0" applyNumberFormat="1" applyFont="1" applyFill="1" applyBorder="1" applyAlignment="1">
      <alignment vertical="center" wrapText="1" shrinkToFit="1"/>
    </xf>
    <xf numFmtId="3" fontId="10" fillId="10" borderId="9" xfId="0" applyNumberFormat="1" applyFont="1" applyFill="1" applyBorder="1" applyAlignment="1">
      <alignment vertical="center" wrapText="1" shrinkToFit="1"/>
    </xf>
    <xf numFmtId="1" fontId="10" fillId="10" borderId="14" xfId="0" applyNumberFormat="1" applyFont="1" applyFill="1" applyBorder="1" applyAlignment="1">
      <alignment horizontal="center" vertical="center"/>
    </xf>
    <xf numFmtId="1" fontId="10" fillId="10" borderId="33" xfId="0" applyNumberFormat="1" applyFont="1" applyFill="1" applyBorder="1" applyAlignment="1">
      <alignment horizontal="center" vertical="center"/>
    </xf>
    <xf numFmtId="1" fontId="10" fillId="26" borderId="2" xfId="0" applyNumberFormat="1" applyFont="1" applyFill="1" applyBorder="1" applyAlignment="1">
      <alignment horizontal="center"/>
    </xf>
    <xf numFmtId="49" fontId="3" fillId="4" borderId="20" xfId="3" applyNumberFormat="1" applyFont="1" applyFill="1" applyBorder="1" applyAlignment="1" applyProtection="1">
      <alignment horizontal="center" vertical="center"/>
    </xf>
    <xf numFmtId="0" fontId="2" fillId="3" borderId="39" xfId="0" applyFont="1" applyFill="1" applyBorder="1"/>
    <xf numFmtId="0" fontId="2" fillId="3" borderId="6" xfId="0" applyFont="1" applyFill="1" applyBorder="1"/>
    <xf numFmtId="3" fontId="2" fillId="4" borderId="3" xfId="0" applyNumberFormat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2" fillId="5" borderId="47" xfId="0" applyNumberFormat="1" applyFont="1" applyFill="1" applyBorder="1" applyAlignment="1">
      <alignment horizontal="center" vertical="center" wrapText="1" shrinkToFit="1"/>
    </xf>
    <xf numFmtId="0" fontId="14" fillId="6" borderId="54" xfId="0" applyFont="1" applyFill="1" applyBorder="1" applyAlignment="1">
      <alignment horizontal="center" vertical="center"/>
    </xf>
    <xf numFmtId="49" fontId="10" fillId="5" borderId="47" xfId="0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8" fillId="6" borderId="36" xfId="0" applyFont="1" applyFill="1" applyBorder="1" applyAlignment="1">
      <alignment horizontal="center" vertical="center" wrapText="1" shrinkToFit="1"/>
    </xf>
    <xf numFmtId="0" fontId="8" fillId="6" borderId="37" xfId="0" applyFont="1" applyFill="1" applyBorder="1" applyAlignment="1">
      <alignment horizontal="center" vertical="center" wrapText="1" shrinkToFit="1"/>
    </xf>
    <xf numFmtId="49" fontId="8" fillId="6" borderId="41" xfId="0" applyNumberFormat="1" applyFont="1" applyFill="1" applyBorder="1" applyAlignment="1">
      <alignment horizontal="center" vertical="center" wrapText="1" shrinkToFit="1"/>
    </xf>
    <xf numFmtId="49" fontId="8" fillId="6" borderId="15" xfId="0" applyNumberFormat="1" applyFont="1" applyFill="1" applyBorder="1" applyAlignment="1">
      <alignment horizontal="center" vertical="center" wrapText="1" shrinkToFit="1"/>
    </xf>
    <xf numFmtId="49" fontId="8" fillId="6" borderId="13" xfId="0" applyNumberFormat="1" applyFont="1" applyFill="1" applyBorder="1" applyAlignment="1">
      <alignment horizontal="center" vertical="center" wrapText="1" shrinkToFit="1"/>
    </xf>
    <xf numFmtId="0" fontId="18" fillId="8" borderId="6" xfId="0" applyFont="1" applyFill="1" applyBorder="1" applyAlignment="1" applyProtection="1">
      <alignment horizontal="center" vertical="center" wrapText="1"/>
      <protection locked="0"/>
    </xf>
    <xf numFmtId="0" fontId="18" fillId="8" borderId="5" xfId="0" applyFont="1" applyFill="1" applyBorder="1" applyAlignment="1" applyProtection="1">
      <alignment horizontal="center" vertical="center" wrapText="1"/>
      <protection locked="0"/>
    </xf>
    <xf numFmtId="0" fontId="18" fillId="8" borderId="76" xfId="0" applyFont="1" applyFill="1" applyBorder="1" applyAlignment="1" applyProtection="1">
      <alignment horizontal="center" vertical="center" wrapText="1"/>
      <protection locked="0"/>
    </xf>
    <xf numFmtId="0" fontId="8" fillId="6" borderId="47" xfId="0" applyFont="1" applyFill="1" applyBorder="1" applyAlignment="1">
      <alignment horizontal="center" vertical="center" wrapText="1" shrinkToFit="1"/>
    </xf>
    <xf numFmtId="0" fontId="8" fillId="6" borderId="48" xfId="0" applyFont="1" applyFill="1" applyBorder="1" applyAlignment="1">
      <alignment horizontal="center" vertical="center" wrapText="1" shrinkToFit="1"/>
    </xf>
    <xf numFmtId="49" fontId="8" fillId="6" borderId="58" xfId="0" applyNumberFormat="1" applyFont="1" applyFill="1" applyBorder="1" applyAlignment="1">
      <alignment horizontal="center" vertical="center" wrapText="1" shrinkToFit="1"/>
    </xf>
    <xf numFmtId="49" fontId="8" fillId="6" borderId="72" xfId="0" applyNumberFormat="1" applyFont="1" applyFill="1" applyBorder="1" applyAlignment="1">
      <alignment horizontal="center" vertical="center" wrapText="1" shrinkToFit="1"/>
    </xf>
    <xf numFmtId="49" fontId="8" fillId="6" borderId="71" xfId="0" applyNumberFormat="1" applyFont="1" applyFill="1" applyBorder="1" applyAlignment="1">
      <alignment horizontal="center" vertical="center" wrapText="1" shrinkToFit="1"/>
    </xf>
    <xf numFmtId="0" fontId="18" fillId="16" borderId="47" xfId="0" applyFont="1" applyFill="1" applyBorder="1" applyAlignment="1" applyProtection="1">
      <alignment horizontal="center" vertical="center" wrapText="1"/>
      <protection locked="0"/>
    </xf>
    <xf numFmtId="0" fontId="17" fillId="9" borderId="47" xfId="0" applyFont="1" applyFill="1" applyBorder="1" applyAlignment="1">
      <alignment horizontal="left"/>
    </xf>
    <xf numFmtId="0" fontId="18" fillId="8" borderId="39" xfId="0" applyFont="1" applyFill="1" applyBorder="1" applyAlignment="1" applyProtection="1">
      <alignment horizontal="center" vertical="center" wrapText="1"/>
      <protection locked="0"/>
    </xf>
    <xf numFmtId="0" fontId="18" fillId="8" borderId="40" xfId="0" applyFont="1" applyFill="1" applyBorder="1" applyAlignment="1" applyProtection="1">
      <alignment horizontal="center" vertical="center" wrapText="1"/>
      <protection locked="0"/>
    </xf>
    <xf numFmtId="0" fontId="18" fillId="16" borderId="51" xfId="0" applyFont="1" applyFill="1" applyBorder="1" applyAlignment="1" applyProtection="1">
      <alignment horizontal="center" vertical="center" wrapText="1"/>
      <protection locked="0"/>
    </xf>
    <xf numFmtId="0" fontId="18" fillId="8" borderId="4" xfId="0" applyFont="1" applyFill="1" applyBorder="1" applyAlignment="1" applyProtection="1">
      <alignment horizontal="center" vertical="center" wrapText="1"/>
      <protection locked="0"/>
    </xf>
    <xf numFmtId="0" fontId="18" fillId="8" borderId="3" xfId="0" applyFont="1" applyFill="1" applyBorder="1" applyAlignment="1" applyProtection="1">
      <alignment horizontal="center" vertical="center" wrapText="1"/>
      <protection locked="0"/>
    </xf>
    <xf numFmtId="0" fontId="18" fillId="8" borderId="7" xfId="0" applyFont="1" applyFill="1" applyBorder="1" applyAlignment="1" applyProtection="1">
      <alignment horizontal="center" vertical="center" wrapText="1"/>
      <protection locked="0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19" fillId="20" borderId="2" xfId="0" applyFont="1" applyFill="1" applyBorder="1" applyAlignment="1">
      <alignment horizontal="center" vertical="center"/>
    </xf>
    <xf numFmtId="3" fontId="8" fillId="6" borderId="77" xfId="0" applyNumberFormat="1" applyFont="1" applyFill="1" applyBorder="1" applyAlignment="1">
      <alignment horizontal="center" vertical="center" wrapText="1" shrinkToFit="1"/>
    </xf>
    <xf numFmtId="3" fontId="0" fillId="0" borderId="22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3" fontId="18" fillId="16" borderId="47" xfId="0" applyNumberFormat="1" applyFont="1" applyFill="1" applyBorder="1" applyAlignment="1" applyProtection="1">
      <alignment horizontal="center" vertical="center" wrapText="1"/>
      <protection locked="0"/>
    </xf>
    <xf numFmtId="49" fontId="10" fillId="10" borderId="47" xfId="0" applyNumberFormat="1" applyFont="1" applyFill="1" applyBorder="1" applyAlignment="1">
      <alignment horizontal="center" vertical="center" wrapText="1" shrinkToFit="1"/>
    </xf>
    <xf numFmtId="49" fontId="10" fillId="10" borderId="2" xfId="0" applyNumberFormat="1" applyFont="1" applyFill="1" applyBorder="1" applyAlignment="1">
      <alignment horizontal="center" vertical="center" wrapText="1" shrinkToFit="1"/>
    </xf>
    <xf numFmtId="49" fontId="10" fillId="10" borderId="47" xfId="0" applyNumberFormat="1" applyFont="1" applyFill="1" applyBorder="1" applyAlignment="1">
      <alignment horizontal="left" vertical="center" wrapText="1" shrinkToFit="1"/>
    </xf>
    <xf numFmtId="0" fontId="14" fillId="9" borderId="2" xfId="0" applyFont="1" applyFill="1" applyBorder="1" applyAlignment="1">
      <alignment horizontal="left"/>
    </xf>
    <xf numFmtId="0" fontId="10" fillId="10" borderId="47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 vertical="center" wrapText="1" shrinkToFit="1"/>
    </xf>
    <xf numFmtId="0" fontId="8" fillId="6" borderId="72" xfId="0" applyFont="1" applyFill="1" applyBorder="1" applyAlignment="1">
      <alignment horizontal="center" vertical="center" wrapText="1" shrinkToFit="1"/>
    </xf>
    <xf numFmtId="0" fontId="8" fillId="6" borderId="71" xfId="0" applyFont="1" applyFill="1" applyBorder="1" applyAlignment="1">
      <alignment horizontal="center" vertical="center" wrapText="1" shrinkToFit="1"/>
    </xf>
    <xf numFmtId="0" fontId="21" fillId="6" borderId="52" xfId="0" applyFont="1" applyFill="1" applyBorder="1" applyAlignment="1">
      <alignment horizontal="center" vertical="center" wrapText="1" shrinkToFit="1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21" fillId="6" borderId="58" xfId="0" applyFont="1" applyFill="1" applyBorder="1" applyAlignment="1">
      <alignment horizontal="center" vertical="center" wrapText="1" shrinkToFit="1"/>
    </xf>
    <xf numFmtId="0" fontId="0" fillId="0" borderId="72" xfId="0" applyBorder="1" applyAlignment="1">
      <alignment horizontal="center" vertical="center"/>
    </xf>
    <xf numFmtId="0" fontId="21" fillId="6" borderId="51" xfId="0" applyFont="1" applyFill="1" applyBorder="1" applyAlignment="1">
      <alignment horizontal="center" vertical="center" wrapText="1" shrinkToFit="1"/>
    </xf>
    <xf numFmtId="0" fontId="21" fillId="6" borderId="72" xfId="0" applyFont="1" applyFill="1" applyBorder="1" applyAlignment="1">
      <alignment horizontal="center" vertical="center" wrapText="1" shrinkToFit="1"/>
    </xf>
    <xf numFmtId="0" fontId="21" fillId="6" borderId="7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21" fillId="6" borderId="47" xfId="0" applyFont="1" applyFill="1" applyBorder="1" applyAlignment="1">
      <alignment horizontal="center" vertical="center" wrapText="1" shrinkToFit="1"/>
    </xf>
    <xf numFmtId="0" fontId="21" fillId="6" borderId="48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18" fillId="8" borderId="47" xfId="0" applyFont="1" applyFill="1" applyBorder="1" applyAlignment="1" applyProtection="1">
      <alignment horizontal="center" vertical="center" wrapText="1"/>
      <protection locked="0"/>
    </xf>
    <xf numFmtId="0" fontId="18" fillId="8" borderId="48" xfId="0" applyFont="1" applyFill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vertical="center" wrapText="1"/>
      <protection locked="0"/>
    </xf>
    <xf numFmtId="0" fontId="18" fillId="8" borderId="8" xfId="0" applyFont="1" applyFill="1" applyBorder="1" applyAlignment="1" applyProtection="1">
      <alignment horizontal="center" vertical="center" wrapText="1"/>
      <protection locked="0"/>
    </xf>
    <xf numFmtId="0" fontId="21" fillId="6" borderId="59" xfId="0" applyFont="1" applyFill="1" applyBorder="1" applyAlignment="1">
      <alignment horizontal="center" vertical="center" wrapText="1" shrinkToFit="1"/>
    </xf>
    <xf numFmtId="0" fontId="21" fillId="6" borderId="60" xfId="0" applyFont="1" applyFill="1" applyBorder="1" applyAlignment="1">
      <alignment horizontal="center" vertical="center" wrapText="1" shrinkToFit="1"/>
    </xf>
    <xf numFmtId="169" fontId="22" fillId="0" borderId="0" xfId="0" applyNumberFormat="1" applyFont="1" applyAlignment="1" applyProtection="1">
      <alignment horizontal="center" vertical="center" wrapText="1"/>
      <protection locked="0"/>
    </xf>
    <xf numFmtId="169" fontId="22" fillId="2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49" fontId="22" fillId="22" borderId="16" xfId="0" applyNumberFormat="1" applyFont="1" applyFill="1" applyBorder="1" applyAlignment="1" applyProtection="1">
      <alignment horizontal="center" vertical="center" wrapText="1"/>
      <protection locked="0"/>
    </xf>
    <xf numFmtId="49" fontId="22" fillId="22" borderId="64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/>
    </xf>
    <xf numFmtId="0" fontId="21" fillId="6" borderId="54" xfId="0" applyFont="1" applyFill="1" applyBorder="1" applyAlignment="1">
      <alignment horizontal="center" vertical="center" wrapText="1" shrinkToFit="1"/>
    </xf>
    <xf numFmtId="0" fontId="21" fillId="6" borderId="56" xfId="0" applyFont="1" applyFill="1" applyBorder="1" applyAlignment="1">
      <alignment horizontal="center" vertical="center" wrapText="1" shrinkToFit="1"/>
    </xf>
    <xf numFmtId="0" fontId="18" fillId="11" borderId="47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17" fillId="12" borderId="4" xfId="0" applyFont="1" applyFill="1" applyBorder="1" applyAlignment="1">
      <alignment horizontal="left"/>
    </xf>
    <xf numFmtId="0" fontId="18" fillId="13" borderId="2" xfId="0" applyFont="1" applyFill="1" applyBorder="1" applyAlignment="1" applyProtection="1">
      <alignment horizontal="center" vertical="center" wrapText="1"/>
      <protection locked="0"/>
    </xf>
    <xf numFmtId="0" fontId="18" fillId="4" borderId="39" xfId="0" applyFont="1" applyFill="1" applyBorder="1" applyAlignment="1" applyProtection="1">
      <alignment horizontal="center" vertical="center" wrapText="1"/>
      <protection locked="0"/>
    </xf>
    <xf numFmtId="0" fontId="21" fillId="12" borderId="51" xfId="0" applyFont="1" applyFill="1" applyBorder="1" applyAlignment="1">
      <alignment horizontal="center" vertical="center" wrapText="1" shrinkToFit="1"/>
    </xf>
    <xf numFmtId="0" fontId="21" fillId="12" borderId="47" xfId="0" applyFont="1" applyFill="1" applyBorder="1" applyAlignment="1">
      <alignment horizontal="center" vertical="center" wrapText="1" shrinkToFit="1"/>
    </xf>
    <xf numFmtId="0" fontId="21" fillId="12" borderId="52" xfId="0" applyFont="1" applyFill="1" applyBorder="1" applyAlignment="1">
      <alignment horizontal="center" vertical="center" wrapText="1" shrinkToFit="1"/>
    </xf>
    <xf numFmtId="0" fontId="21" fillId="12" borderId="48" xfId="0" applyFont="1" applyFill="1" applyBorder="1" applyAlignment="1">
      <alignment horizontal="center" vertical="center" wrapText="1" shrinkToFit="1"/>
    </xf>
    <xf numFmtId="0" fontId="21" fillId="12" borderId="26" xfId="0" applyFont="1" applyFill="1" applyBorder="1" applyAlignment="1">
      <alignment horizontal="center" vertical="center" wrapText="1"/>
    </xf>
    <xf numFmtId="0" fontId="21" fillId="12" borderId="37" xfId="0" applyFont="1" applyFill="1" applyBorder="1" applyAlignment="1">
      <alignment horizontal="center" vertical="center" wrapText="1" shrinkToFit="1"/>
    </xf>
    <xf numFmtId="3" fontId="22" fillId="17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7" borderId="69" xfId="0" applyNumberFormat="1" applyFont="1" applyFill="1" applyBorder="1" applyAlignment="1" applyProtection="1">
      <alignment horizontal="center" vertical="center" wrapText="1"/>
      <protection locked="0"/>
    </xf>
    <xf numFmtId="3" fontId="22" fillId="17" borderId="66" xfId="0" applyNumberFormat="1" applyFont="1" applyFill="1" applyBorder="1" applyAlignment="1" applyProtection="1">
      <alignment horizontal="center" vertical="center" wrapText="1"/>
      <protection locked="0"/>
    </xf>
    <xf numFmtId="0" fontId="18" fillId="13" borderId="4" xfId="0" applyFont="1" applyFill="1" applyBorder="1" applyAlignment="1" applyProtection="1">
      <alignment horizontal="center" vertical="center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/>
    <xf numFmtId="0" fontId="21" fillId="12" borderId="30" xfId="0" applyFont="1" applyFill="1" applyBorder="1" applyAlignment="1">
      <alignment horizontal="center" vertical="center" wrapText="1" shrinkToFit="1"/>
    </xf>
    <xf numFmtId="49" fontId="22" fillId="0" borderId="51" xfId="0" applyNumberFormat="1" applyFont="1" applyBorder="1" applyAlignment="1" applyProtection="1">
      <alignment horizontal="left" vertical="center" wrapText="1"/>
      <protection locked="0"/>
    </xf>
    <xf numFmtId="49" fontId="22" fillId="0" borderId="59" xfId="0" applyNumberFormat="1" applyFont="1" applyBorder="1" applyAlignment="1" applyProtection="1">
      <alignment horizontal="left" vertical="center" wrapText="1"/>
      <protection locked="0"/>
    </xf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3" fontId="24" fillId="0" borderId="52" xfId="0" applyNumberFormat="1" applyFont="1" applyBorder="1" applyAlignment="1" applyProtection="1">
      <alignment vertical="center" wrapText="1"/>
      <protection locked="0"/>
    </xf>
    <xf numFmtId="0" fontId="18" fillId="13" borderId="23" xfId="0" applyFont="1" applyFill="1" applyBorder="1" applyAlignment="1" applyProtection="1">
      <alignment horizontal="center" vertical="center" wrapText="1"/>
      <protection locked="0"/>
    </xf>
    <xf numFmtId="3" fontId="24" fillId="0" borderId="25" xfId="0" applyNumberFormat="1" applyFont="1" applyBorder="1" applyAlignment="1" applyProtection="1">
      <alignment vertical="center" wrapText="1"/>
      <protection locked="0"/>
    </xf>
    <xf numFmtId="3" fontId="24" fillId="0" borderId="45" xfId="0" applyNumberFormat="1" applyFont="1" applyBorder="1" applyAlignment="1" applyProtection="1">
      <alignment vertical="center" wrapText="1"/>
      <protection locked="0"/>
    </xf>
    <xf numFmtId="0" fontId="22" fillId="0" borderId="71" xfId="0" applyFont="1" applyBorder="1" applyAlignment="1" applyProtection="1">
      <alignment vertical="center" wrapText="1"/>
      <protection locked="0"/>
    </xf>
    <xf numFmtId="0" fontId="22" fillId="4" borderId="64" xfId="0" applyFont="1" applyFill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49" fontId="22" fillId="0" borderId="44" xfId="0" applyNumberFormat="1" applyFont="1" applyBorder="1" applyAlignment="1" applyProtection="1">
      <alignment horizontal="left" vertical="center" wrapText="1"/>
      <protection locked="0"/>
    </xf>
    <xf numFmtId="0" fontId="21" fillId="12" borderId="24" xfId="0" applyFont="1" applyFill="1" applyBorder="1" applyAlignment="1">
      <alignment horizontal="center" vertical="center" wrapText="1" shrinkToFit="1"/>
    </xf>
    <xf numFmtId="0" fontId="21" fillId="12" borderId="25" xfId="0" applyFont="1" applyFill="1" applyBorder="1" applyAlignment="1">
      <alignment horizontal="center" vertical="center" wrapText="1" shrinkToFit="1"/>
    </xf>
    <xf numFmtId="49" fontId="25" fillId="0" borderId="45" xfId="0" applyNumberFormat="1" applyFont="1" applyBorder="1" applyAlignment="1">
      <alignment horizontal="center" vertical="center" wrapText="1" shrinkToFit="1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0" fillId="0" borderId="30" xfId="0" applyNumberFormat="1" applyFont="1" applyBorder="1" applyAlignment="1" applyProtection="1">
      <alignment vertical="center" wrapText="1"/>
      <protection locked="0"/>
    </xf>
    <xf numFmtId="0" fontId="20" fillId="17" borderId="35" xfId="0" applyFont="1" applyFill="1" applyBorder="1" applyAlignment="1" applyProtection="1">
      <alignment horizontal="left" vertical="center" wrapText="1"/>
      <protection locked="0"/>
    </xf>
    <xf numFmtId="0" fontId="20" fillId="17" borderId="60" xfId="0" applyFont="1" applyFill="1" applyBorder="1" applyAlignment="1" applyProtection="1">
      <alignment horizontal="left" vertical="center" wrapText="1"/>
      <protection locked="0"/>
    </xf>
    <xf numFmtId="0" fontId="20" fillId="17" borderId="45" xfId="0" applyFont="1" applyFill="1" applyBorder="1" applyAlignment="1" applyProtection="1">
      <alignment horizontal="left"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0" fontId="20" fillId="0" borderId="35" xfId="0" applyFont="1" applyBorder="1" applyAlignment="1">
      <alignment vertical="center" wrapText="1"/>
    </xf>
    <xf numFmtId="0" fontId="20" fillId="0" borderId="60" xfId="0" applyFont="1" applyBorder="1" applyAlignment="1">
      <alignment vertical="center" wrapText="1"/>
    </xf>
    <xf numFmtId="3" fontId="22" fillId="0" borderId="35" xfId="0" applyNumberFormat="1" applyFont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vertical="center" wrapText="1"/>
      <protection locked="0"/>
    </xf>
    <xf numFmtId="3" fontId="22" fillId="0" borderId="15" xfId="0" applyNumberFormat="1" applyFont="1" applyBorder="1" applyAlignment="1" applyProtection="1">
      <alignment vertical="center" wrapText="1"/>
      <protection locked="0"/>
    </xf>
    <xf numFmtId="3" fontId="22" fillId="0" borderId="64" xfId="0" applyNumberFormat="1" applyFont="1" applyBorder="1" applyAlignment="1" applyProtection="1">
      <alignment vertical="center" wrapText="1"/>
      <protection locked="0"/>
    </xf>
    <xf numFmtId="0" fontId="21" fillId="12" borderId="35" xfId="0" applyFont="1" applyFill="1" applyBorder="1" applyAlignment="1">
      <alignment horizontal="center" vertical="center" wrapText="1" shrinkToFit="1"/>
    </xf>
    <xf numFmtId="0" fontId="22" fillId="0" borderId="67" xfId="0" applyFont="1" applyBorder="1" applyAlignment="1" applyProtection="1">
      <alignment vertical="center" wrapText="1"/>
      <protection locked="0"/>
    </xf>
    <xf numFmtId="0" fontId="22" fillId="0" borderId="54" xfId="0" applyFont="1" applyBorder="1" applyAlignment="1" applyProtection="1">
      <alignment vertical="center" wrapText="1"/>
      <protection locked="0"/>
    </xf>
    <xf numFmtId="0" fontId="22" fillId="0" borderId="59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49" fontId="22" fillId="17" borderId="15" xfId="0" applyNumberFormat="1" applyFont="1" applyFill="1" applyBorder="1" applyAlignment="1" applyProtection="1">
      <alignment horizontal="left" vertical="center" wrapText="1"/>
      <protection locked="0"/>
    </xf>
    <xf numFmtId="49" fontId="22" fillId="17" borderId="64" xfId="0" applyNumberFormat="1" applyFont="1" applyFill="1" applyBorder="1" applyAlignment="1" applyProtection="1">
      <alignment horizontal="left" vertical="center" wrapText="1"/>
      <protection locked="0"/>
    </xf>
    <xf numFmtId="0" fontId="18" fillId="13" borderId="6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49" fontId="22" fillId="0" borderId="30" xfId="0" applyNumberFormat="1" applyFont="1" applyBorder="1" applyAlignment="1" applyProtection="1">
      <alignment horizontal="left"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0" fontId="22" fillId="0" borderId="35" xfId="0" applyFont="1" applyBorder="1" applyAlignment="1" applyProtection="1">
      <alignment horizontal="left" vertical="center" wrapText="1"/>
      <protection locked="0"/>
    </xf>
    <xf numFmtId="0" fontId="22" fillId="0" borderId="60" xfId="0" applyFont="1" applyBorder="1" applyAlignment="1" applyProtection="1">
      <alignment horizontal="left" vertical="center" wrapText="1"/>
      <protection locked="0"/>
    </xf>
    <xf numFmtId="0" fontId="22" fillId="0" borderId="45" xfId="0" applyFont="1" applyBorder="1" applyAlignment="1" applyProtection="1">
      <alignment horizontal="left" vertical="center" wrapText="1"/>
      <protection locked="0"/>
    </xf>
    <xf numFmtId="0" fontId="21" fillId="12" borderId="59" xfId="0" applyFont="1" applyFill="1" applyBorder="1" applyAlignment="1">
      <alignment horizontal="center" vertical="center" wrapText="1" shrinkToFit="1"/>
    </xf>
    <xf numFmtId="0" fontId="21" fillId="12" borderId="60" xfId="0" applyFont="1" applyFill="1" applyBorder="1" applyAlignment="1">
      <alignment horizontal="center" vertical="center" wrapText="1" shrinkToFit="1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44" xfId="0" applyFont="1" applyBorder="1" applyAlignment="1" applyProtection="1">
      <alignment horizontal="left" vertical="center" wrapText="1"/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 wrapText="1"/>
    </xf>
    <xf numFmtId="3" fontId="22" fillId="0" borderId="21" xfId="0" applyNumberFormat="1" applyFont="1" applyBorder="1" applyAlignment="1" applyProtection="1">
      <alignment horizontal="right" vertical="center" wrapText="1"/>
      <protection locked="0"/>
    </xf>
    <xf numFmtId="3" fontId="22" fillId="0" borderId="28" xfId="0" applyNumberFormat="1" applyFont="1" applyBorder="1" applyAlignment="1" applyProtection="1">
      <alignment horizontal="right"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0" fillId="0" borderId="59" xfId="0" applyNumberFormat="1" applyFont="1" applyBorder="1" applyAlignment="1">
      <alignment horizontal="left" vertical="center" wrapText="1"/>
    </xf>
    <xf numFmtId="49" fontId="20" fillId="0" borderId="54" xfId="0" applyNumberFormat="1" applyFont="1" applyBorder="1" applyAlignment="1">
      <alignment horizontal="left" vertical="center" wrapText="1"/>
    </xf>
    <xf numFmtId="0" fontId="22" fillId="0" borderId="58" xfId="0" applyFont="1" applyBorder="1" applyAlignment="1" applyProtection="1">
      <alignment horizontal="left" vertical="center" wrapText="1"/>
      <protection locked="0"/>
    </xf>
    <xf numFmtId="0" fontId="22" fillId="0" borderId="72" xfId="0" applyFont="1" applyBorder="1" applyAlignment="1" applyProtection="1">
      <alignment horizontal="left" vertical="center" wrapText="1"/>
      <protection locked="0"/>
    </xf>
    <xf numFmtId="0" fontId="21" fillId="12" borderId="54" xfId="0" applyFont="1" applyFill="1" applyBorder="1" applyAlignment="1">
      <alignment horizontal="center" vertical="center" wrapText="1" shrinkToFit="1"/>
    </xf>
    <xf numFmtId="0" fontId="21" fillId="12" borderId="56" xfId="0" applyFont="1" applyFill="1" applyBorder="1" applyAlignment="1">
      <alignment horizontal="center" vertical="center" wrapText="1" shrinkToFit="1"/>
    </xf>
    <xf numFmtId="0" fontId="22" fillId="17" borderId="41" xfId="0" applyFont="1" applyFill="1" applyBorder="1" applyAlignment="1" applyProtection="1">
      <alignment vertical="center" wrapText="1"/>
      <protection locked="0"/>
    </xf>
    <xf numFmtId="0" fontId="0" fillId="17" borderId="15" xfId="0" applyFill="1" applyBorder="1" applyAlignment="1">
      <alignment vertical="center" wrapText="1"/>
    </xf>
    <xf numFmtId="0" fontId="0" fillId="17" borderId="64" xfId="0" applyFill="1" applyBorder="1" applyAlignment="1">
      <alignment vertical="center" wrapText="1"/>
    </xf>
    <xf numFmtId="0" fontId="18" fillId="4" borderId="47" xfId="0" applyFont="1" applyFill="1" applyBorder="1" applyAlignment="1" applyProtection="1">
      <alignment horizontal="center" vertical="center" wrapText="1"/>
      <protection locked="0"/>
    </xf>
    <xf numFmtId="0" fontId="18" fillId="4" borderId="48" xfId="0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horizontal="center" vertical="center" wrapText="1"/>
      <protection locked="0"/>
    </xf>
    <xf numFmtId="0" fontId="46" fillId="2" borderId="0" xfId="0" applyFont="1" applyFill="1" applyAlignment="1">
      <alignment horizontal="right"/>
    </xf>
    <xf numFmtId="0" fontId="35" fillId="7" borderId="0" xfId="0" applyFont="1" applyFill="1" applyAlignment="1">
      <alignment horizontal="center"/>
    </xf>
    <xf numFmtId="0" fontId="22" fillId="0" borderId="24" xfId="0" applyFont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3" fontId="50" fillId="0" borderId="0" xfId="0" applyNumberFormat="1" applyFont="1" applyAlignment="1" applyProtection="1">
      <alignment vertical="center" wrapText="1"/>
      <protection locked="0"/>
    </xf>
    <xf numFmtId="0" fontId="51" fillId="0" borderId="0" xfId="0" applyFont="1"/>
    <xf numFmtId="0" fontId="18" fillId="4" borderId="47" xfId="0" applyFont="1" applyFill="1" applyBorder="1" applyAlignment="1" applyProtection="1">
      <alignment vertical="center" wrapText="1"/>
      <protection locked="0"/>
    </xf>
    <xf numFmtId="49" fontId="22" fillId="0" borderId="23" xfId="0" applyNumberFormat="1" applyFont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horizontal="left" vertical="center" wrapText="1"/>
      <protection locked="0"/>
    </xf>
    <xf numFmtId="49" fontId="22" fillId="0" borderId="16" xfId="0" applyNumberFormat="1" applyFont="1" applyBorder="1" applyAlignment="1" applyProtection="1">
      <alignment horizontal="left" vertical="center" wrapText="1"/>
      <protection locked="0"/>
    </xf>
    <xf numFmtId="0" fontId="18" fillId="4" borderId="16" xfId="0" applyFont="1" applyFill="1" applyBorder="1" applyAlignment="1" applyProtection="1">
      <alignment horizontal="left" vertical="center" wrapText="1"/>
      <protection locked="0"/>
    </xf>
    <xf numFmtId="0" fontId="18" fillId="4" borderId="19" xfId="0" applyFont="1" applyFill="1" applyBorder="1" applyAlignment="1" applyProtection="1">
      <alignment horizontal="left" vertical="center" wrapText="1"/>
      <protection locked="0"/>
    </xf>
    <xf numFmtId="0" fontId="17" fillId="13" borderId="2" xfId="0" applyFont="1" applyFill="1" applyBorder="1" applyAlignment="1">
      <alignment horizontal="left"/>
    </xf>
    <xf numFmtId="0" fontId="17" fillId="13" borderId="4" xfId="0" applyFont="1" applyFill="1" applyBorder="1" applyAlignment="1">
      <alignment horizontal="left"/>
    </xf>
    <xf numFmtId="0" fontId="18" fillId="4" borderId="73" xfId="0" applyFont="1" applyFill="1" applyBorder="1" applyAlignment="1" applyProtection="1">
      <alignment horizontal="left" vertical="center" wrapText="1"/>
      <protection locked="0"/>
    </xf>
    <xf numFmtId="0" fontId="17" fillId="15" borderId="0" xfId="0" applyFont="1" applyFill="1" applyAlignment="1">
      <alignment horizontal="center"/>
    </xf>
    <xf numFmtId="0" fontId="17" fillId="13" borderId="23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7" fillId="13" borderId="24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7" fillId="13" borderId="73" xfId="0" applyFont="1" applyFill="1" applyBorder="1" applyAlignment="1">
      <alignment horizontal="center"/>
    </xf>
    <xf numFmtId="0" fontId="17" fillId="13" borderId="7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3" fillId="16" borderId="47" xfId="0" applyFont="1" applyFill="1" applyBorder="1" applyAlignment="1">
      <alignment horizontal="center"/>
    </xf>
    <xf numFmtId="0" fontId="0" fillId="0" borderId="48" xfId="0" applyBorder="1"/>
    <xf numFmtId="0" fontId="0" fillId="0" borderId="8" xfId="0" applyBorder="1"/>
    <xf numFmtId="0" fontId="53" fillId="16" borderId="47" xfId="0" applyFont="1" applyFill="1" applyBorder="1"/>
    <xf numFmtId="0" fontId="0" fillId="16" borderId="8" xfId="0" applyFill="1" applyBorder="1"/>
  </cellXfs>
  <cellStyles count="4">
    <cellStyle name="Ezres" xfId="1" builtinId="3"/>
    <cellStyle name="Normál" xfId="0" builtinId="0"/>
    <cellStyle name="Pénznem" xfId="2" builtinId="4"/>
    <cellStyle name="Százalék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C00000"/>
      <rgbColor rgb="FF008000"/>
      <rgbColor rgb="FF000080"/>
      <rgbColor rgb="FF808000"/>
      <rgbColor rgb="FF800080"/>
      <rgbColor rgb="FF008080"/>
      <rgbColor rgb="FFF8CBAD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AC090"/>
      <rgbColor rgb="FFCC99FF"/>
      <rgbColor rgb="FFFFCC99"/>
      <rgbColor rgb="FF3366FF"/>
      <rgbColor rgb="FF33CCCC"/>
      <rgbColor rgb="FF99CC00"/>
      <rgbColor rgb="FFFFF2CC"/>
      <rgbColor rgb="FFFF9900"/>
      <rgbColor rgb="FFFF6600"/>
      <rgbColor rgb="FF666699"/>
      <rgbColor rgb="FF969696"/>
      <rgbColor rgb="FF203864"/>
      <rgbColor rgb="FF339966"/>
      <rgbColor rgb="FF003300"/>
      <rgbColor rgb="FF385724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  <pageSetUpPr fitToPage="1"/>
  </sheetPr>
  <dimension ref="A1:R44"/>
  <sheetViews>
    <sheetView tabSelected="1" zoomScale="91" zoomScaleNormal="91" workbookViewId="0">
      <selection activeCell="L18" sqref="L18"/>
    </sheetView>
  </sheetViews>
  <sheetFormatPr defaultRowHeight="12.75"/>
  <cols>
    <col min="1" max="1" width="7.140625" customWidth="1"/>
    <col min="2" max="2" width="33.42578125" customWidth="1"/>
    <col min="3" max="3" width="13.140625" customWidth="1"/>
    <col min="4" max="4" width="12.7109375" bestFit="1" customWidth="1"/>
    <col min="5" max="5" width="9" customWidth="1"/>
    <col min="6" max="6" width="13.7109375" customWidth="1"/>
    <col min="7" max="7" width="9.85546875" customWidth="1"/>
    <col min="8" max="8" width="30.28515625" customWidth="1"/>
    <col min="9" max="10" width="12.42578125" customWidth="1"/>
    <col min="11" max="11" width="9.42578125" bestFit="1" customWidth="1"/>
    <col min="12" max="12" width="13.28515625" customWidth="1"/>
    <col min="13" max="1025" width="8.42578125" customWidth="1"/>
  </cols>
  <sheetData>
    <row r="1" spans="1:13" ht="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</row>
    <row r="2" spans="1:13" ht="15">
      <c r="A2" s="1"/>
      <c r="B2" s="803" t="s">
        <v>723</v>
      </c>
      <c r="C2" s="803"/>
      <c r="D2" s="803"/>
      <c r="E2" s="803"/>
      <c r="F2" s="803"/>
      <c r="G2" s="803"/>
      <c r="H2" s="803"/>
      <c r="I2" s="803"/>
      <c r="J2" s="803"/>
      <c r="K2" s="803"/>
      <c r="L2" s="803"/>
      <c r="M2" s="1"/>
    </row>
    <row r="3" spans="1:13" ht="15">
      <c r="A3" s="1"/>
      <c r="B3" s="803" t="s">
        <v>389</v>
      </c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1"/>
    </row>
    <row r="4" spans="1:13" ht="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>
      <c r="A5" s="804" t="s">
        <v>0</v>
      </c>
      <c r="B5" s="804"/>
      <c r="C5" s="804"/>
      <c r="D5" s="804"/>
      <c r="E5" s="804"/>
      <c r="F5" s="804"/>
      <c r="G5" s="804"/>
      <c r="H5" s="804"/>
      <c r="I5" s="804"/>
      <c r="J5" s="804"/>
      <c r="K5" s="804"/>
      <c r="L5" s="804"/>
      <c r="M5" s="1"/>
    </row>
    <row r="6" spans="1:13" ht="15.75" thickBot="1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4" t="s">
        <v>1</v>
      </c>
      <c r="M6" s="1"/>
    </row>
    <row r="7" spans="1:13" ht="15.75" thickBot="1">
      <c r="A7" s="805" t="s">
        <v>2</v>
      </c>
      <c r="B7" s="805"/>
      <c r="C7" s="805"/>
      <c r="D7" s="805"/>
      <c r="E7" s="805"/>
      <c r="F7" s="805"/>
      <c r="G7" s="806" t="s">
        <v>3</v>
      </c>
      <c r="H7" s="806"/>
      <c r="I7" s="806"/>
      <c r="J7" s="806"/>
      <c r="K7" s="806"/>
      <c r="L7" s="806"/>
      <c r="M7" s="1"/>
    </row>
    <row r="8" spans="1:13" ht="39" customHeight="1" thickBot="1">
      <c r="A8" s="5" t="s">
        <v>4</v>
      </c>
      <c r="B8" s="6" t="s">
        <v>5</v>
      </c>
      <c r="C8" s="7" t="s">
        <v>675</v>
      </c>
      <c r="D8" s="7" t="s">
        <v>508</v>
      </c>
      <c r="E8" s="7" t="s">
        <v>383</v>
      </c>
      <c r="F8" s="8" t="s">
        <v>675</v>
      </c>
      <c r="G8" s="9" t="s">
        <v>4</v>
      </c>
      <c r="H8" s="10" t="s">
        <v>5</v>
      </c>
      <c r="I8" s="11" t="s">
        <v>675</v>
      </c>
      <c r="J8" s="12" t="s">
        <v>508</v>
      </c>
      <c r="K8" s="12" t="s">
        <v>383</v>
      </c>
      <c r="L8" s="13" t="s">
        <v>675</v>
      </c>
      <c r="M8" s="1"/>
    </row>
    <row r="9" spans="1:13" ht="15">
      <c r="A9" s="14" t="s">
        <v>6</v>
      </c>
      <c r="B9" s="15" t="s">
        <v>7</v>
      </c>
      <c r="C9" s="16">
        <f>'Bevételek(önkormányzat 2023'!C14</f>
        <v>244014793</v>
      </c>
      <c r="D9" s="585">
        <f>F9-C9</f>
        <v>16040690</v>
      </c>
      <c r="E9" s="571">
        <f>F9/C9</f>
        <v>1.0657365473739946</v>
      </c>
      <c r="F9" s="37">
        <f>'Bevételek(önkormányzat 2023'!F14</f>
        <v>260055483</v>
      </c>
      <c r="G9" s="17" t="s">
        <v>8</v>
      </c>
      <c r="H9" s="18" t="s">
        <v>9</v>
      </c>
      <c r="I9" s="580">
        <f>'Kiadások(önkormányzat 2023)'!C19</f>
        <v>46954350</v>
      </c>
      <c r="J9" s="580">
        <f t="shared" ref="J9:J14" si="0">SUM(L9-I9)</f>
        <v>6020750</v>
      </c>
      <c r="K9" s="286">
        <f>L9/I9</f>
        <v>1.1282256063602201</v>
      </c>
      <c r="L9" s="20">
        <f>'Kiadások(önkormányzat 2023)'!F19</f>
        <v>52975100</v>
      </c>
      <c r="M9" s="1"/>
    </row>
    <row r="10" spans="1:13" ht="15">
      <c r="A10" s="21" t="s">
        <v>10</v>
      </c>
      <c r="B10" s="22" t="s">
        <v>11</v>
      </c>
      <c r="C10" s="252">
        <f>'Bevételek(önkormányzat 2023'!C17</f>
        <v>7936200</v>
      </c>
      <c r="D10" s="483">
        <f>F10-C10</f>
        <v>519185</v>
      </c>
      <c r="E10" s="570">
        <f>F10/C10</f>
        <v>1.0654198482901136</v>
      </c>
      <c r="F10" s="19">
        <f>'Bevételek(önkormányzat 2023'!F17</f>
        <v>8455385</v>
      </c>
      <c r="G10" s="23" t="s">
        <v>12</v>
      </c>
      <c r="H10" s="24" t="s">
        <v>13</v>
      </c>
      <c r="I10" s="480">
        <f>'Kiadások(önkormányzat 2023)'!C21</f>
        <v>6565000</v>
      </c>
      <c r="J10" s="480">
        <f t="shared" si="0"/>
        <v>535600</v>
      </c>
      <c r="K10" s="286">
        <f t="shared" ref="K10:K18" si="1">L10/I10</f>
        <v>1.0815841584158417</v>
      </c>
      <c r="L10" s="20">
        <f>'Kiadások(önkormányzat 2023)'!F21</f>
        <v>7100600</v>
      </c>
      <c r="M10" s="1"/>
    </row>
    <row r="11" spans="1:13" ht="15">
      <c r="A11" s="21" t="s">
        <v>14</v>
      </c>
      <c r="B11" s="22" t="s">
        <v>15</v>
      </c>
      <c r="C11" s="252">
        <f>'Bevételek(önkormányzat 2023'!C20</f>
        <v>0</v>
      </c>
      <c r="D11" s="480">
        <f>F11-C11</f>
        <v>0</v>
      </c>
      <c r="E11" s="570">
        <v>0</v>
      </c>
      <c r="F11" s="19">
        <f>'Bevételek(önkormányzat 2023'!F20</f>
        <v>0</v>
      </c>
      <c r="G11" s="23" t="s">
        <v>16</v>
      </c>
      <c r="H11" s="24" t="s">
        <v>17</v>
      </c>
      <c r="I11" s="480">
        <f>'Kiadások(önkormányzat 2023)'!C50</f>
        <v>89471240</v>
      </c>
      <c r="J11" s="480">
        <f t="shared" si="0"/>
        <v>2874419</v>
      </c>
      <c r="K11" s="286">
        <f t="shared" si="1"/>
        <v>1.0321267370386282</v>
      </c>
      <c r="L11" s="20">
        <f>'Kiadások(önkormányzat 2023)'!F50</f>
        <v>92345659</v>
      </c>
      <c r="M11" s="1"/>
    </row>
    <row r="12" spans="1:13" ht="15">
      <c r="A12" s="21" t="s">
        <v>18</v>
      </c>
      <c r="B12" s="22" t="s">
        <v>19</v>
      </c>
      <c r="C12" s="252">
        <f>'Bevételek(önkormányzat 2023'!C25</f>
        <v>62500000</v>
      </c>
      <c r="D12" s="480">
        <f>F12-C12</f>
        <v>0</v>
      </c>
      <c r="E12" s="570">
        <f>F12/C12</f>
        <v>1</v>
      </c>
      <c r="F12" s="19">
        <f>'Bevételek(önkormányzat 2023'!F25</f>
        <v>62500000</v>
      </c>
      <c r="G12" s="23" t="s">
        <v>20</v>
      </c>
      <c r="H12" s="24" t="s">
        <v>21</v>
      </c>
      <c r="I12" s="480">
        <f>'Kiadások(önkormányzat 2023)'!C58</f>
        <v>11800000</v>
      </c>
      <c r="J12" s="480">
        <f t="shared" si="0"/>
        <v>0</v>
      </c>
      <c r="K12" s="286">
        <f t="shared" si="1"/>
        <v>1</v>
      </c>
      <c r="L12" s="20">
        <f>'Kiadások(önkormányzat 2023)'!F58</f>
        <v>11800000</v>
      </c>
      <c r="M12" s="1"/>
    </row>
    <row r="13" spans="1:13" ht="15">
      <c r="A13" s="21" t="s">
        <v>22</v>
      </c>
      <c r="B13" s="22" t="s">
        <v>23</v>
      </c>
      <c r="C13" s="252">
        <f>'Bevételek(önkormányzat 2023'!C35</f>
        <v>18225660</v>
      </c>
      <c r="D13" s="586">
        <f>F13-C13</f>
        <v>3968629</v>
      </c>
      <c r="E13" s="570">
        <f>F13/C13</f>
        <v>1.2177495355449406</v>
      </c>
      <c r="F13" s="19">
        <f>'Bevételek(önkormányzat 2023'!F35</f>
        <v>22194289</v>
      </c>
      <c r="G13" s="23" t="s">
        <v>24</v>
      </c>
      <c r="H13" s="24" t="s">
        <v>25</v>
      </c>
      <c r="I13" s="480">
        <f>'Kiadások(önkormányzat 2023)'!C64</f>
        <v>19939700</v>
      </c>
      <c r="J13" s="480">
        <f t="shared" si="0"/>
        <v>49429410</v>
      </c>
      <c r="K13" s="286">
        <f t="shared" si="1"/>
        <v>3.4789445177209286</v>
      </c>
      <c r="L13" s="20">
        <f>'Kiadások(önkormányzat 2023)'!F64</f>
        <v>69369110</v>
      </c>
      <c r="M13" s="1"/>
    </row>
    <row r="14" spans="1:13" ht="15.75" thickBot="1">
      <c r="A14" s="25"/>
      <c r="B14" s="26"/>
      <c r="C14" s="578"/>
      <c r="D14" s="256"/>
      <c r="E14" s="704"/>
      <c r="F14" s="29"/>
      <c r="G14" s="27" t="s">
        <v>28</v>
      </c>
      <c r="H14" s="28" t="s">
        <v>29</v>
      </c>
      <c r="I14" s="581">
        <f>'Kiadások(önkormányzat 2023)'!C76</f>
        <v>221309261</v>
      </c>
      <c r="J14" s="581">
        <f t="shared" si="0"/>
        <v>6977932</v>
      </c>
      <c r="K14" s="286">
        <f t="shared" si="1"/>
        <v>1.0315302304497778</v>
      </c>
      <c r="L14" s="30">
        <f>'Kiadások(önkormányzat 2023)'!F76</f>
        <v>228287193</v>
      </c>
      <c r="M14" s="1"/>
    </row>
    <row r="15" spans="1:13" ht="15.75" thickBot="1">
      <c r="A15" s="31"/>
      <c r="B15" s="705" t="s">
        <v>378</v>
      </c>
      <c r="C15" s="395">
        <f>SUM(C9:C14)</f>
        <v>332676653</v>
      </c>
      <c r="D15" s="395">
        <f>SUM(D9:D14)</f>
        <v>20528504</v>
      </c>
      <c r="E15" s="702">
        <f>F15/C15</f>
        <v>1.0617070774726112</v>
      </c>
      <c r="F15" s="706">
        <f>SUM(F9:F14)</f>
        <v>353205157</v>
      </c>
      <c r="G15" s="32"/>
      <c r="H15" s="33" t="s">
        <v>30</v>
      </c>
      <c r="I15" s="395">
        <f>SUM(I9:I14)</f>
        <v>396039551</v>
      </c>
      <c r="J15" s="395">
        <f>SUM(J9:J14)</f>
        <v>65838111</v>
      </c>
      <c r="K15" s="702">
        <f t="shared" si="1"/>
        <v>1.1662412525056114</v>
      </c>
      <c r="L15" s="706">
        <f>SUM(L9:L14)</f>
        <v>461877662</v>
      </c>
      <c r="M15" s="1"/>
    </row>
    <row r="16" spans="1:13" ht="15">
      <c r="A16" s="35" t="s">
        <v>26</v>
      </c>
      <c r="B16" s="294" t="s">
        <v>27</v>
      </c>
      <c r="C16" s="575">
        <f>'Bevételek(önkormányzat 2023'!C42</f>
        <v>3913940</v>
      </c>
      <c r="D16" s="580">
        <f>F16-C16</f>
        <v>132000</v>
      </c>
      <c r="E16" s="572">
        <f>F16/C16</f>
        <v>1.0337256064221731</v>
      </c>
      <c r="F16" s="293">
        <f>'Bevételek(önkormányzat 2023'!F42</f>
        <v>4045940</v>
      </c>
      <c r="G16" s="36" t="s">
        <v>33</v>
      </c>
      <c r="H16" s="18" t="s">
        <v>34</v>
      </c>
      <c r="I16" s="580">
        <f>'Kiadások(önkormányzat 2023)'!C73</f>
        <v>11214000</v>
      </c>
      <c r="J16" s="577">
        <f t="shared" ref="J16:J21" si="2">SUM(L16-I16)</f>
        <v>179228886</v>
      </c>
      <c r="K16" s="287">
        <f>L16/I16</f>
        <v>16.982600856072768</v>
      </c>
      <c r="L16" s="38">
        <f>'Kiadások(önkormányzat 2023)'!F73</f>
        <v>190442886</v>
      </c>
      <c r="M16" s="1"/>
    </row>
    <row r="17" spans="1:18" ht="15">
      <c r="A17" s="271" t="s">
        <v>31</v>
      </c>
      <c r="B17" s="295" t="s">
        <v>32</v>
      </c>
      <c r="C17" s="252">
        <f>'Bevételek(önkormányzat 2023'!C43</f>
        <v>330961145</v>
      </c>
      <c r="D17" s="582">
        <f>F17-C17</f>
        <v>0</v>
      </c>
      <c r="E17" s="573">
        <f>F17/C17</f>
        <v>1</v>
      </c>
      <c r="F17" s="19">
        <f>'Bevételek(önkormányzat 2023'!F43</f>
        <v>330961145</v>
      </c>
      <c r="G17" s="799" t="s">
        <v>35</v>
      </c>
      <c r="H17" s="24" t="s">
        <v>36</v>
      </c>
      <c r="I17" s="480">
        <f>'Kiadások(önkormányzat 2023)'!C78</f>
        <v>232626378</v>
      </c>
      <c r="J17" s="582">
        <f t="shared" si="2"/>
        <v>-232626378</v>
      </c>
      <c r="K17" s="287">
        <f t="shared" si="1"/>
        <v>0</v>
      </c>
      <c r="L17" s="20">
        <f>'Kiadások(önkormányzat 2023)'!F78</f>
        <v>0</v>
      </c>
      <c r="M17" s="1"/>
      <c r="N17" s="39"/>
      <c r="O17" s="39"/>
    </row>
    <row r="18" spans="1:18" ht="15">
      <c r="A18" s="271" t="s">
        <v>380</v>
      </c>
      <c r="B18" s="295" t="s">
        <v>382</v>
      </c>
      <c r="C18" s="252">
        <f>'Bevételek(önkormányzat 2023'!C44</f>
        <v>0</v>
      </c>
      <c r="D18" s="298">
        <f>'Bevételek(önkormányzat 2023'!D44</f>
        <v>0</v>
      </c>
      <c r="E18" s="573"/>
      <c r="F18" s="19">
        <f>'Bevételek(önkormányzat 2023'!F44</f>
        <v>0</v>
      </c>
      <c r="G18" s="799"/>
      <c r="H18" s="24" t="s">
        <v>37</v>
      </c>
      <c r="I18" s="480">
        <f>'Kiadások(önkormányzat 2023)'!C77</f>
        <v>17920923</v>
      </c>
      <c r="J18" s="582">
        <f t="shared" si="2"/>
        <v>8219885</v>
      </c>
      <c r="K18" s="287">
        <f t="shared" si="1"/>
        <v>1.45867531488194</v>
      </c>
      <c r="L18" s="20">
        <f>'Kiadások(önkormányzat 2023)'!F77</f>
        <v>26140808</v>
      </c>
      <c r="M18" s="1"/>
    </row>
    <row r="19" spans="1:18" ht="15">
      <c r="A19" s="271" t="s">
        <v>387</v>
      </c>
      <c r="B19" s="295" t="s">
        <v>388</v>
      </c>
      <c r="C19" s="252">
        <f>'Bevételek(önkormányzat 2023'!C40</f>
        <v>0</v>
      </c>
      <c r="D19" s="298">
        <f>'Bevételek(önkormányzat 2023'!D40</f>
        <v>0</v>
      </c>
      <c r="E19" s="574"/>
      <c r="F19" s="19">
        <f>'Bevételek(önkormányzat 2023'!F40</f>
        <v>0</v>
      </c>
      <c r="G19" s="799"/>
      <c r="H19" s="40" t="s">
        <v>38</v>
      </c>
      <c r="I19" s="584">
        <f>'Kiadások(önkormányzat 2023)'!C79</f>
        <v>0</v>
      </c>
      <c r="J19" s="582">
        <f t="shared" si="2"/>
        <v>0</v>
      </c>
      <c r="K19" s="287"/>
      <c r="L19" s="41">
        <f>'Kiadások(önkormányzat 2023)'!F79</f>
        <v>0</v>
      </c>
      <c r="M19" s="1"/>
    </row>
    <row r="20" spans="1:18" ht="15.75" thickBot="1">
      <c r="A20" s="42"/>
      <c r="B20" s="296"/>
      <c r="C20" s="578"/>
      <c r="D20" s="299"/>
      <c r="E20" s="574"/>
      <c r="F20" s="29"/>
      <c r="G20" s="43" t="s">
        <v>39</v>
      </c>
      <c r="H20" s="28" t="s">
        <v>40</v>
      </c>
      <c r="I20" s="581">
        <f>'Kiadások(önkormányzat 2023)'!C74</f>
        <v>0</v>
      </c>
      <c r="J20" s="583">
        <f t="shared" si="2"/>
        <v>0</v>
      </c>
      <c r="K20" s="287"/>
      <c r="L20" s="29">
        <f>'Kiadások(önkormányzat 2023)'!F74</f>
        <v>0</v>
      </c>
      <c r="M20" s="1"/>
    </row>
    <row r="21" spans="1:18" ht="15.75" thickBot="1">
      <c r="A21" s="44"/>
      <c r="B21" s="297"/>
      <c r="C21" s="579"/>
      <c r="D21" s="300"/>
      <c r="E21" s="576"/>
      <c r="F21" s="569"/>
      <c r="G21" s="45" t="s">
        <v>41</v>
      </c>
      <c r="H21" s="393" t="s">
        <v>42</v>
      </c>
      <c r="I21" s="34">
        <f>'Kiadások(önkormányzat 2023)'!C75</f>
        <v>9750886</v>
      </c>
      <c r="J21" s="34">
        <f t="shared" si="2"/>
        <v>0</v>
      </c>
      <c r="K21" s="568">
        <f>L21/I21</f>
        <v>1</v>
      </c>
      <c r="L21" s="34">
        <f>'Kiadások(önkormányzat 2023)'!F75</f>
        <v>9750886</v>
      </c>
      <c r="M21" s="1"/>
    </row>
    <row r="22" spans="1:18" ht="15.75" thickBot="1">
      <c r="A22" s="800" t="s">
        <v>43</v>
      </c>
      <c r="B22" s="801"/>
      <c r="C22" s="394">
        <f>SUM(C15:C21)</f>
        <v>667551738</v>
      </c>
      <c r="D22" s="394">
        <f>SUM(D15:D18)</f>
        <v>20660504</v>
      </c>
      <c r="E22" s="701">
        <f>F22/C22</f>
        <v>1.0309496670054359</v>
      </c>
      <c r="F22" s="703">
        <f>SUM(F15:F21)</f>
        <v>688212242</v>
      </c>
      <c r="G22" s="802" t="s">
        <v>43</v>
      </c>
      <c r="H22" s="802"/>
      <c r="I22" s="394">
        <f>SUM(I15:I21)</f>
        <v>667551738</v>
      </c>
      <c r="J22" s="394">
        <f>SUM(J15:J21)</f>
        <v>20660504</v>
      </c>
      <c r="K22" s="702">
        <f>L22/I22</f>
        <v>1.0309496670054359</v>
      </c>
      <c r="L22" s="395">
        <f>SUM(L15:L21)</f>
        <v>688212242</v>
      </c>
      <c r="M22" s="1"/>
      <c r="Q22" s="46"/>
      <c r="R22" s="46"/>
    </row>
    <row r="23" spans="1:18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Q23" s="46"/>
      <c r="R23" s="46"/>
    </row>
    <row r="24" spans="1:18" ht="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Q24" s="46"/>
      <c r="R24" s="46"/>
    </row>
    <row r="25" spans="1:18" ht="15">
      <c r="A25" s="1"/>
      <c r="B25" s="268"/>
      <c r="C25" s="268"/>
      <c r="D25" s="268"/>
      <c r="E25" s="1"/>
      <c r="F25" s="1"/>
      <c r="G25" s="1"/>
      <c r="H25" s="1"/>
      <c r="I25" s="1"/>
      <c r="J25" s="1"/>
      <c r="K25" s="1"/>
      <c r="L25" s="1"/>
      <c r="M25" s="1"/>
      <c r="Q25" s="46"/>
      <c r="R25" s="46"/>
    </row>
    <row r="26" spans="1:18" ht="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8" ht="15">
      <c r="A27" s="1"/>
      <c r="B27" s="1"/>
      <c r="C27" s="1"/>
      <c r="D27" s="1"/>
      <c r="E27" s="1"/>
      <c r="F27" s="268">
        <f>F22-L22</f>
        <v>0</v>
      </c>
      <c r="G27" s="1"/>
      <c r="H27" s="1"/>
      <c r="I27" s="1"/>
      <c r="J27" s="1"/>
      <c r="K27" s="1"/>
      <c r="L27" s="1"/>
      <c r="M27" s="1"/>
    </row>
    <row r="33" spans="1:13" ht="15">
      <c r="A33" s="47"/>
      <c r="B33" s="1"/>
      <c r="C33" s="1"/>
      <c r="D33" s="46"/>
      <c r="E33" s="46"/>
      <c r="F33" s="46"/>
    </row>
    <row r="34" spans="1:13" ht="15">
      <c r="A34" s="47"/>
      <c r="B34" s="1"/>
      <c r="C34" s="1"/>
      <c r="D34" s="46"/>
      <c r="E34" s="46"/>
      <c r="F34" s="46"/>
    </row>
    <row r="35" spans="1:13" ht="15">
      <c r="A35" s="47"/>
      <c r="B35" s="1"/>
      <c r="C35" s="1"/>
      <c r="D35" s="46"/>
      <c r="E35" s="46"/>
      <c r="F35" s="46"/>
    </row>
    <row r="36" spans="1:13" ht="15">
      <c r="A36" s="47"/>
      <c r="B36" s="1"/>
      <c r="C36" s="1"/>
      <c r="D36" s="46"/>
      <c r="E36" s="46"/>
      <c r="F36" s="46"/>
    </row>
    <row r="37" spans="1:13" ht="15">
      <c r="A37" s="47"/>
      <c r="B37" s="1"/>
      <c r="C37" s="1"/>
      <c r="D37" s="46"/>
      <c r="E37" s="46"/>
      <c r="F37" s="46"/>
    </row>
    <row r="38" spans="1:13" ht="15">
      <c r="A38" s="47"/>
      <c r="B38" s="1"/>
      <c r="C38" s="1"/>
      <c r="D38" s="46"/>
      <c r="E38" s="46"/>
      <c r="F38" s="46"/>
    </row>
    <row r="39" spans="1:13" ht="15">
      <c r="A39" s="47"/>
      <c r="B39" s="1"/>
      <c r="C39" s="1"/>
      <c r="D39" s="46"/>
      <c r="E39" s="46"/>
      <c r="F39" s="46"/>
      <c r="H39" s="47"/>
      <c r="I39" s="47"/>
      <c r="J39" s="1"/>
      <c r="K39" s="1"/>
      <c r="L39" s="46"/>
      <c r="M39" s="46"/>
    </row>
    <row r="40" spans="1:13" ht="15">
      <c r="A40" s="47"/>
      <c r="B40" s="1"/>
      <c r="C40" s="1"/>
      <c r="D40" s="46"/>
      <c r="E40" s="46"/>
      <c r="F40" s="46"/>
      <c r="H40" s="47"/>
      <c r="I40" s="47"/>
      <c r="J40" s="1"/>
      <c r="K40" s="1"/>
      <c r="L40" s="46"/>
      <c r="M40" s="46"/>
    </row>
    <row r="41" spans="1:13" ht="15">
      <c r="A41" s="47"/>
      <c r="B41" s="1"/>
      <c r="C41" s="1"/>
      <c r="D41" s="46"/>
      <c r="E41" s="46"/>
      <c r="F41" s="46"/>
      <c r="H41" s="47"/>
      <c r="I41" s="47"/>
      <c r="J41" s="1"/>
      <c r="K41" s="1"/>
      <c r="L41" s="46"/>
      <c r="M41" s="46"/>
    </row>
    <row r="42" spans="1:13" ht="15">
      <c r="A42" s="47"/>
      <c r="B42" s="1"/>
      <c r="C42" s="1"/>
      <c r="D42" s="46"/>
      <c r="E42" s="46"/>
      <c r="F42" s="46"/>
      <c r="H42" s="47"/>
      <c r="I42" s="47"/>
      <c r="J42" s="1"/>
      <c r="K42" s="1"/>
      <c r="L42" s="46"/>
      <c r="M42" s="46"/>
    </row>
    <row r="43" spans="1:13" ht="15">
      <c r="A43" s="47"/>
      <c r="B43" s="1"/>
      <c r="C43" s="1"/>
      <c r="D43" s="46"/>
      <c r="E43" s="46"/>
      <c r="F43" s="46"/>
      <c r="H43" s="47"/>
      <c r="I43" s="47"/>
      <c r="J43" s="1"/>
      <c r="K43" s="1"/>
      <c r="L43" s="46"/>
      <c r="M43" s="46"/>
    </row>
    <row r="44" spans="1:13" ht="15">
      <c r="A44" s="47"/>
      <c r="B44" s="1"/>
      <c r="C44" s="1"/>
      <c r="D44" s="46"/>
      <c r="E44" s="46"/>
      <c r="F44" s="46"/>
      <c r="H44" s="47"/>
      <c r="I44" s="47"/>
      <c r="J44" s="1"/>
      <c r="K44" s="1"/>
      <c r="L44" s="46"/>
      <c r="M44" s="46"/>
    </row>
  </sheetData>
  <sheetProtection algorithmName="SHA-512" hashValue="t/ey2ZaNQS5uVIOGDNgUqXB2+0TuRTpMpWEEpQlO87W8RaJP9XZWA/s2gD9aPbqXRL8282liETh3Tz6Udr6Dng==" saltValue="P/4a/SXiiaLRBKtTdpqtPA==" spinCount="100000" sheet="1" objects="1" scenarios="1"/>
  <mergeCells count="8">
    <mergeCell ref="G17:G19"/>
    <mergeCell ref="A22:B22"/>
    <mergeCell ref="G22:H22"/>
    <mergeCell ref="B2:L2"/>
    <mergeCell ref="B3:L3"/>
    <mergeCell ref="A5:L5"/>
    <mergeCell ref="A7:F7"/>
    <mergeCell ref="G7:L7"/>
  </mergeCells>
  <pageMargins left="0.74803149606299213" right="0.74803149606299213" top="0.98425196850393704" bottom="0.98425196850393704" header="0.51181102362204722" footer="0.51181102362204722"/>
  <pageSetup paperSize="9" scale="71" firstPageNumber="0" orientation="landscape" verticalDpi="300" r:id="rId1"/>
  <headerFooter>
    <oddHeader>&amp;R2022.01.hó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  <pageSetUpPr fitToPage="1"/>
  </sheetPr>
  <dimension ref="A1:I49"/>
  <sheetViews>
    <sheetView showGridLines="0" topLeftCell="A14" zoomScale="90" zoomScaleNormal="90" workbookViewId="0">
      <selection activeCell="F22" sqref="F22"/>
    </sheetView>
  </sheetViews>
  <sheetFormatPr defaultRowHeight="12.75"/>
  <cols>
    <col min="1" max="1" width="11.85546875" customWidth="1"/>
    <col min="2" max="2" width="51.5703125" customWidth="1"/>
    <col min="3" max="3" width="19.7109375" customWidth="1"/>
    <col min="4" max="4" width="14.7109375" customWidth="1"/>
    <col min="5" max="5" width="12.7109375" customWidth="1"/>
    <col min="6" max="6" width="18.28515625" customWidth="1"/>
    <col min="7" max="7" width="20.140625" customWidth="1"/>
    <col min="8" max="8" width="8.42578125" customWidth="1"/>
    <col min="9" max="9" width="9.7109375" customWidth="1"/>
    <col min="10" max="1024" width="8.42578125" customWidth="1"/>
  </cols>
  <sheetData>
    <row r="1" spans="1:6">
      <c r="F1" s="48" t="s">
        <v>44</v>
      </c>
    </row>
    <row r="2" spans="1:6" ht="15.75">
      <c r="A2" s="810" t="s">
        <v>723</v>
      </c>
      <c r="B2" s="810"/>
      <c r="C2" s="810"/>
      <c r="D2" s="810"/>
      <c r="E2" s="810"/>
      <c r="F2" s="810"/>
    </row>
    <row r="3" spans="1:6" ht="15.75">
      <c r="A3" s="810" t="s">
        <v>389</v>
      </c>
      <c r="B3" s="810"/>
      <c r="C3" s="810"/>
      <c r="D3" s="810"/>
      <c r="E3" s="810"/>
      <c r="F3" s="810"/>
    </row>
    <row r="4" spans="1:6" ht="13.5" thickBot="1">
      <c r="F4" s="50" t="s">
        <v>45</v>
      </c>
    </row>
    <row r="5" spans="1:6" ht="15.75">
      <c r="A5" s="811" t="s">
        <v>2</v>
      </c>
      <c r="B5" s="811"/>
      <c r="C5" s="811"/>
      <c r="D5" s="811"/>
      <c r="E5" s="811"/>
      <c r="F5" s="811"/>
    </row>
    <row r="6" spans="1:6" ht="15.75" customHeight="1" thickBot="1">
      <c r="A6" s="812" t="s">
        <v>46</v>
      </c>
      <c r="B6" s="813" t="s">
        <v>47</v>
      </c>
      <c r="C6" s="814">
        <v>2023</v>
      </c>
      <c r="D6" s="815"/>
      <c r="E6" s="815"/>
      <c r="F6" s="816"/>
    </row>
    <row r="7" spans="1:6" ht="25.5" customHeight="1" thickBot="1">
      <c r="A7" s="812"/>
      <c r="B7" s="813"/>
      <c r="C7" s="52" t="s">
        <v>48</v>
      </c>
      <c r="D7" s="51" t="s">
        <v>508</v>
      </c>
      <c r="E7" s="51" t="s">
        <v>383</v>
      </c>
      <c r="F7" s="442" t="s">
        <v>509</v>
      </c>
    </row>
    <row r="8" spans="1:6" ht="24.95" customHeight="1">
      <c r="A8" s="53" t="s">
        <v>49</v>
      </c>
      <c r="B8" s="555" t="s">
        <v>50</v>
      </c>
      <c r="C8" s="563">
        <v>103972296</v>
      </c>
      <c r="D8" s="566">
        <f t="shared" ref="D8:D13" si="0">F8-C8</f>
        <v>4378080</v>
      </c>
      <c r="E8" s="612">
        <f>'Bevételek COFOG szerint 2023'!E45</f>
        <v>104.21081400376116</v>
      </c>
      <c r="F8" s="56">
        <f>'Bevételek COFOG szerint 2023'!F45</f>
        <v>108350376</v>
      </c>
    </row>
    <row r="9" spans="1:6" ht="24.95" customHeight="1">
      <c r="A9" s="57" t="s">
        <v>51</v>
      </c>
      <c r="B9" s="58" t="s">
        <v>52</v>
      </c>
      <c r="C9" s="564">
        <v>77081860</v>
      </c>
      <c r="D9" s="59">
        <f t="shared" si="0"/>
        <v>6750756</v>
      </c>
      <c r="E9" s="613">
        <f>'Bevételek COFOG szerint 2023'!E56+'Bevételek COFOG szerint 2023'!E61</f>
        <v>108.75790490784732</v>
      </c>
      <c r="F9" s="60">
        <f>'Bevételek COFOG szerint 2023'!F56</f>
        <v>83832616</v>
      </c>
    </row>
    <row r="10" spans="1:6" ht="24.95" customHeight="1">
      <c r="A10" s="57" t="s">
        <v>53</v>
      </c>
      <c r="B10" s="58" t="s">
        <v>54</v>
      </c>
      <c r="C10" s="564">
        <v>56917734</v>
      </c>
      <c r="D10" s="59">
        <f t="shared" si="0"/>
        <v>4392378</v>
      </c>
      <c r="E10" s="613">
        <f>'Bevételek COFOG szerint 2023'!E64</f>
        <v>110.93477589487632</v>
      </c>
      <c r="F10" s="60">
        <f>'Bevételek COFOG szerint 2023'!F64+'Bevételek COFOG szerint 2023'!F70</f>
        <v>61310112</v>
      </c>
    </row>
    <row r="11" spans="1:6" ht="24.95" customHeight="1">
      <c r="A11" s="57" t="s">
        <v>55</v>
      </c>
      <c r="B11" s="58" t="s">
        <v>56</v>
      </c>
      <c r="C11" s="564">
        <v>5800273</v>
      </c>
      <c r="D11" s="59">
        <f t="shared" si="0"/>
        <v>494000</v>
      </c>
      <c r="E11" s="613">
        <f>'Bevételek COFOG szerint 2023'!E75</f>
        <v>108.51684050043851</v>
      </c>
      <c r="F11" s="60">
        <f>'Bevételek COFOG szerint 2023'!F75</f>
        <v>6294273</v>
      </c>
    </row>
    <row r="12" spans="1:6" ht="24.95" customHeight="1">
      <c r="A12" s="61" t="s">
        <v>57</v>
      </c>
      <c r="B12" s="62" t="s">
        <v>58</v>
      </c>
      <c r="C12" s="712">
        <v>0</v>
      </c>
      <c r="D12" s="59">
        <f t="shared" si="0"/>
        <v>0</v>
      </c>
      <c r="E12" s="613">
        <f>'Bevételek COFOG szerint 2023'!E76</f>
        <v>100</v>
      </c>
      <c r="F12" s="64">
        <f>SUM('Bevételek COFOG szerint 2023'!F78)</f>
        <v>0</v>
      </c>
    </row>
    <row r="13" spans="1:6" ht="24.95" customHeight="1" thickBot="1">
      <c r="A13" s="70" t="s">
        <v>470</v>
      </c>
      <c r="B13" s="71" t="s">
        <v>722</v>
      </c>
      <c r="C13" s="713">
        <v>242630</v>
      </c>
      <c r="D13" s="59">
        <f t="shared" si="0"/>
        <v>25476</v>
      </c>
      <c r="E13" s="613">
        <f>'Bevételek COFOG szerint 2023'!E78</f>
        <v>0</v>
      </c>
      <c r="F13" s="73">
        <f>SUM('Bevételek COFOG szerint 2023'!F84)</f>
        <v>268106</v>
      </c>
    </row>
    <row r="14" spans="1:6" ht="30" customHeight="1" thickBot="1">
      <c r="A14" s="809" t="s">
        <v>59</v>
      </c>
      <c r="B14" s="809"/>
      <c r="C14" s="398">
        <f>SUM(C8:C13)</f>
        <v>244014793</v>
      </c>
      <c r="D14" s="65">
        <f>SUM(D8:D13)</f>
        <v>16040690</v>
      </c>
      <c r="E14" s="314">
        <f>F14/C14*100</f>
        <v>106.57365473739947</v>
      </c>
      <c r="F14" s="66">
        <f>SUM(F8:F13)</f>
        <v>260055483</v>
      </c>
    </row>
    <row r="15" spans="1:6" ht="24.95" customHeight="1">
      <c r="A15" s="53" t="s">
        <v>60</v>
      </c>
      <c r="B15" s="54" t="s">
        <v>61</v>
      </c>
      <c r="C15" s="396"/>
      <c r="D15" s="55"/>
      <c r="E15" s="308"/>
      <c r="F15" s="56">
        <f>'Bevételek COFOG szerint 2023'!F11</f>
        <v>0</v>
      </c>
    </row>
    <row r="16" spans="1:6" ht="24.95" customHeight="1" thickBot="1">
      <c r="A16" s="61" t="s">
        <v>62</v>
      </c>
      <c r="B16" s="556" t="s">
        <v>63</v>
      </c>
      <c r="C16" s="72">
        <f>'Bevételek COFOG szerint 2023'!C85+'Bevételek COFOG szerint 2023'!C98+'Bevételek COFOG szerint 2023'!C103+'Bevételek COFOG szerint 2023'!C119+'Bevételek COFOG szerint 2023'!C124+'Bevételek COFOG szerint 2023'!C115</f>
        <v>7936200</v>
      </c>
      <c r="D16" s="557">
        <f>F16-C16</f>
        <v>519185</v>
      </c>
      <c r="E16" s="614">
        <f>F16/C16*100</f>
        <v>106.54198482901135</v>
      </c>
      <c r="F16" s="64">
        <f>'Bevételek COFOG szerint 2023'!F85+'Bevételek COFOG szerint 2023'!F98+'Bevételek COFOG szerint 2023'!F103+'Bevételek COFOG szerint 2023'!F119+'Bevételek COFOG szerint 2023'!F124+'Bevételek COFOG szerint 2023'!F115+'Bevételek COFOG szerint 2023'!F129</f>
        <v>8455385</v>
      </c>
    </row>
    <row r="17" spans="1:8" ht="30" customHeight="1" thickBot="1">
      <c r="A17" s="809" t="s">
        <v>64</v>
      </c>
      <c r="B17" s="809"/>
      <c r="C17" s="398">
        <f>SUM(C15:C16)</f>
        <v>7936200</v>
      </c>
      <c r="D17" s="65">
        <f>SUM(D15:D16)</f>
        <v>519185</v>
      </c>
      <c r="E17" s="315">
        <f>F17/C17*100</f>
        <v>106.54198482901135</v>
      </c>
      <c r="F17" s="66">
        <f>SUM(F15:F16)</f>
        <v>8455385</v>
      </c>
    </row>
    <row r="18" spans="1:8" ht="30" customHeight="1">
      <c r="A18" s="478" t="s">
        <v>539</v>
      </c>
      <c r="B18" s="567" t="s">
        <v>519</v>
      </c>
      <c r="C18" s="289">
        <f>'Bevételek COFOG szerint 2023'!C86</f>
        <v>0</v>
      </c>
      <c r="D18" s="559">
        <f>F18-C18</f>
        <v>0</v>
      </c>
      <c r="E18" s="615">
        <f>'Bevételek COFOG szerint 2023'!E86</f>
        <v>0</v>
      </c>
      <c r="F18" s="479"/>
    </row>
    <row r="19" spans="1:8" ht="36.75" customHeight="1" thickBot="1">
      <c r="A19" s="472" t="s">
        <v>476</v>
      </c>
      <c r="B19" s="473" t="s">
        <v>477</v>
      </c>
      <c r="C19" s="474">
        <v>0</v>
      </c>
      <c r="D19" s="559">
        <f>F19-C19</f>
        <v>0</v>
      </c>
      <c r="E19" s="476">
        <v>0</v>
      </c>
      <c r="F19" s="477">
        <f>'Bevételek COFOG szerint 2023'!F134</f>
        <v>0</v>
      </c>
    </row>
    <row r="20" spans="1:8" ht="30" customHeight="1" thickBot="1">
      <c r="A20" s="809" t="s">
        <v>492</v>
      </c>
      <c r="B20" s="809"/>
      <c r="C20" s="398">
        <f>SUM(C18:C19)</f>
        <v>0</v>
      </c>
      <c r="D20" s="65">
        <f>D19+D18</f>
        <v>0</v>
      </c>
      <c r="E20" s="315">
        <v>0</v>
      </c>
      <c r="F20" s="66">
        <f>F19+F18</f>
        <v>0</v>
      </c>
    </row>
    <row r="21" spans="1:8" ht="24.95" customHeight="1">
      <c r="A21" s="57" t="s">
        <v>66</v>
      </c>
      <c r="B21" s="555" t="s">
        <v>67</v>
      </c>
      <c r="C21" s="558">
        <f>'Bevételek COFOG szerint 2023'!C162</f>
        <v>7000000</v>
      </c>
      <c r="D21" s="600">
        <f t="shared" ref="D21:D24" si="1">F21-C21</f>
        <v>0</v>
      </c>
      <c r="E21" s="613">
        <f>'Bevételek COFOG szerint 2023'!E162</f>
        <v>100</v>
      </c>
      <c r="F21" s="60">
        <f>'Bevételek COFOG szerint 2023'!F162</f>
        <v>7000000</v>
      </c>
    </row>
    <row r="22" spans="1:8" ht="24.95" customHeight="1">
      <c r="A22" s="57" t="s">
        <v>68</v>
      </c>
      <c r="B22" s="58" t="s">
        <v>69</v>
      </c>
      <c r="C22" s="59">
        <f>'Bevételek COFOG szerint 2023'!C163</f>
        <v>55000000</v>
      </c>
      <c r="D22" s="59">
        <f t="shared" si="1"/>
        <v>0</v>
      </c>
      <c r="E22" s="613">
        <f>'Bevételek COFOG szerint 2023'!E163</f>
        <v>100</v>
      </c>
      <c r="F22" s="60">
        <f>'Bevételek COFOG szerint 2023'!F163</f>
        <v>55000000</v>
      </c>
    </row>
    <row r="23" spans="1:8" ht="24.95" customHeight="1">
      <c r="A23" s="57" t="s">
        <v>487</v>
      </c>
      <c r="B23" s="58" t="s">
        <v>488</v>
      </c>
      <c r="C23" s="59">
        <f>'Bevételek COFOG szerint 2023'!C165</f>
        <v>200000</v>
      </c>
      <c r="D23" s="59">
        <f t="shared" si="1"/>
        <v>0</v>
      </c>
      <c r="E23" s="613">
        <f>'Bevételek COFOG szerint 2023'!E164</f>
        <v>0</v>
      </c>
      <c r="F23" s="60">
        <f>'Bevételek COFOG szerint 2023'!F165</f>
        <v>200000</v>
      </c>
    </row>
    <row r="24" spans="1:8" ht="24.95" customHeight="1" thickBot="1">
      <c r="A24" s="57" t="s">
        <v>78</v>
      </c>
      <c r="B24" s="58" t="s">
        <v>79</v>
      </c>
      <c r="C24" s="59">
        <f>'Bevételek COFOG szerint 2023'!C169</f>
        <v>300000</v>
      </c>
      <c r="D24" s="59">
        <f t="shared" si="1"/>
        <v>0</v>
      </c>
      <c r="E24" s="616">
        <f>'Bevételek COFOG szerint 2023'!E169</f>
        <v>100</v>
      </c>
      <c r="F24" s="60">
        <f>'Bevételek COFOG szerint 2023'!F169</f>
        <v>300000</v>
      </c>
    </row>
    <row r="25" spans="1:8" ht="24.95" customHeight="1" thickBot="1">
      <c r="A25" s="809" t="s">
        <v>81</v>
      </c>
      <c r="B25" s="809"/>
      <c r="C25" s="398">
        <f>SUM(C21:C24)</f>
        <v>62500000</v>
      </c>
      <c r="D25" s="67">
        <f>SUM(D21:D24)</f>
        <v>0</v>
      </c>
      <c r="E25" s="316">
        <f>F25/C25*100</f>
        <v>100</v>
      </c>
      <c r="F25" s="68">
        <f>SUM(F21:F24)</f>
        <v>62500000</v>
      </c>
    </row>
    <row r="26" spans="1:8" ht="24.95" customHeight="1">
      <c r="A26" s="53" t="s">
        <v>82</v>
      </c>
      <c r="B26" s="555" t="s">
        <v>83</v>
      </c>
      <c r="C26" s="563">
        <v>358000</v>
      </c>
      <c r="D26" s="600">
        <f t="shared" ref="D26:D34" si="2">F26-C26</f>
        <v>0</v>
      </c>
      <c r="E26" s="613">
        <f t="shared" ref="E26:E29" si="3">SUM(F26/C26*100)</f>
        <v>100</v>
      </c>
      <c r="F26" s="60">
        <f>SUM('Bevételek COFOG szerint 2023'!F145+'Bevételek COFOG szerint 2023'!F15)</f>
        <v>358000</v>
      </c>
    </row>
    <row r="27" spans="1:8" ht="24.95" customHeight="1">
      <c r="A27" s="53" t="s">
        <v>464</v>
      </c>
      <c r="B27" s="54" t="s">
        <v>465</v>
      </c>
      <c r="C27" s="564">
        <v>1620000</v>
      </c>
      <c r="D27" s="59">
        <f t="shared" si="2"/>
        <v>0</v>
      </c>
      <c r="E27" s="613">
        <f t="shared" si="3"/>
        <v>100</v>
      </c>
      <c r="F27" s="60">
        <f>SUM('Bevételek COFOG szerint 2023'!F16)</f>
        <v>1620000</v>
      </c>
    </row>
    <row r="28" spans="1:8" ht="24.95" customHeight="1">
      <c r="A28" s="57" t="s">
        <v>84</v>
      </c>
      <c r="B28" s="58" t="s">
        <v>85</v>
      </c>
      <c r="C28" s="564">
        <v>7700000</v>
      </c>
      <c r="D28" s="601">
        <f t="shared" si="2"/>
        <v>2859550</v>
      </c>
      <c r="E28" s="613">
        <f t="shared" si="3"/>
        <v>137.13701298701301</v>
      </c>
      <c r="F28" s="60">
        <f>SUM('Bevételek COFOG szerint 2023'!F17+'Bevételek COFOG szerint 2023'!F39+'Bevételek COFOG szerint 2023'!F108)</f>
        <v>10559550</v>
      </c>
      <c r="H28" s="69"/>
    </row>
    <row r="29" spans="1:8" ht="24.95" customHeight="1">
      <c r="A29" s="57" t="s">
        <v>86</v>
      </c>
      <c r="B29" s="58" t="s">
        <v>87</v>
      </c>
      <c r="C29" s="564">
        <v>4400000</v>
      </c>
      <c r="D29" s="63">
        <f t="shared" si="2"/>
        <v>0</v>
      </c>
      <c r="E29" s="613">
        <f t="shared" si="3"/>
        <v>100</v>
      </c>
      <c r="F29" s="60">
        <f>SUM('Bevételek COFOG szerint 2023'!F139+'Bevételek COFOG szerint 2023'!F156+'Bevételek COFOG szerint 2023'!F151)</f>
        <v>4400000</v>
      </c>
    </row>
    <row r="30" spans="1:8" ht="24.95" customHeight="1">
      <c r="A30" s="57" t="s">
        <v>88</v>
      </c>
      <c r="B30" s="58" t="s">
        <v>89</v>
      </c>
      <c r="C30" s="564">
        <v>2877660</v>
      </c>
      <c r="D30" s="63">
        <f t="shared" si="2"/>
        <v>772079</v>
      </c>
      <c r="E30" s="613">
        <f>SUM(F30/C30*100)</f>
        <v>126.83009806578957</v>
      </c>
      <c r="F30" s="60">
        <f>'Bevételek COFOG szerint 2023'!F109+'Bevételek COFOG szerint 2023'!F140+'Bevételek COFOG szerint 2023'!F157+'Bevételek COFOG szerint 2023'!F146</f>
        <v>3649739</v>
      </c>
    </row>
    <row r="31" spans="1:8" ht="24.95" customHeight="1">
      <c r="A31" s="57" t="s">
        <v>90</v>
      </c>
      <c r="B31" s="58" t="s">
        <v>91</v>
      </c>
      <c r="C31" s="564">
        <v>0</v>
      </c>
      <c r="D31" s="63">
        <f t="shared" si="2"/>
        <v>337000</v>
      </c>
      <c r="E31" s="613">
        <v>0</v>
      </c>
      <c r="F31" s="60">
        <f>SUM('Bevételek COFOG szerint 2023'!F20)</f>
        <v>337000</v>
      </c>
    </row>
    <row r="32" spans="1:8" ht="24.95" customHeight="1">
      <c r="A32" s="57" t="s">
        <v>92</v>
      </c>
      <c r="B32" s="58" t="s">
        <v>93</v>
      </c>
      <c r="C32" s="564">
        <v>0</v>
      </c>
      <c r="D32" s="59">
        <f t="shared" si="2"/>
        <v>0</v>
      </c>
      <c r="E32" s="613">
        <v>0</v>
      </c>
      <c r="F32" s="60">
        <f>SUM('Bevételek COFOG szerint 2023'!F21)</f>
        <v>0</v>
      </c>
    </row>
    <row r="33" spans="1:9" ht="24.95" customHeight="1">
      <c r="A33" s="57" t="s">
        <v>94</v>
      </c>
      <c r="B33" s="58" t="s">
        <v>386</v>
      </c>
      <c r="C33" s="564">
        <v>1260000</v>
      </c>
      <c r="D33" s="59">
        <f t="shared" si="2"/>
        <v>0</v>
      </c>
      <c r="E33" s="613">
        <f t="shared" ref="E33:E34" si="4">SUM(F33/C33*100)</f>
        <v>100</v>
      </c>
      <c r="F33" s="60">
        <f>'Bevételek COFOG szerint 2023'!F40</f>
        <v>1260000</v>
      </c>
    </row>
    <row r="34" spans="1:9" ht="24.95" customHeight="1" thickBot="1">
      <c r="A34" s="70" t="s">
        <v>96</v>
      </c>
      <c r="B34" s="71" t="s">
        <v>97</v>
      </c>
      <c r="C34" s="565">
        <v>10000</v>
      </c>
      <c r="D34" s="55">
        <f t="shared" si="2"/>
        <v>0</v>
      </c>
      <c r="E34" s="613">
        <f t="shared" si="4"/>
        <v>100</v>
      </c>
      <c r="F34" s="73">
        <f>SUM('Bevételek COFOG szerint 2023'!F22)</f>
        <v>10000</v>
      </c>
    </row>
    <row r="35" spans="1:9" ht="30" customHeight="1" thickBot="1">
      <c r="A35" s="809" t="s">
        <v>98</v>
      </c>
      <c r="B35" s="809"/>
      <c r="C35" s="398">
        <f>SUM(C26:C34)</f>
        <v>18225660</v>
      </c>
      <c r="D35" s="67">
        <f>SUM(D26:D34)</f>
        <v>3968629</v>
      </c>
      <c r="E35" s="316">
        <f>F35/C35*100</f>
        <v>121.77495355449406</v>
      </c>
      <c r="F35" s="68">
        <f>SUM(F26:F34)</f>
        <v>22194289</v>
      </c>
    </row>
    <row r="36" spans="1:9" ht="24.95" customHeight="1">
      <c r="A36" s="53" t="s">
        <v>99</v>
      </c>
      <c r="B36" s="555" t="s">
        <v>100</v>
      </c>
      <c r="C36" s="563">
        <f>'Bevételek COFOG szerint 2023'!C24</f>
        <v>3694000</v>
      </c>
      <c r="D36" s="600">
        <f t="shared" ref="D36:D41" si="5">F36-C36</f>
        <v>132000</v>
      </c>
      <c r="E36" s="613">
        <f>SUM(F36/C36*100)</f>
        <v>103.57336220898755</v>
      </c>
      <c r="F36" s="60">
        <f>'Bevételek COFOG szerint 2023'!F24</f>
        <v>3826000</v>
      </c>
    </row>
    <row r="37" spans="1:9" ht="24.95" customHeight="1">
      <c r="A37" s="53" t="s">
        <v>489</v>
      </c>
      <c r="B37" s="54" t="s">
        <v>490</v>
      </c>
      <c r="C37" s="564">
        <v>0</v>
      </c>
      <c r="D37" s="59">
        <f t="shared" si="5"/>
        <v>0</v>
      </c>
      <c r="E37" s="613">
        <v>0</v>
      </c>
      <c r="F37" s="60">
        <v>0</v>
      </c>
    </row>
    <row r="38" spans="1:9" ht="24.95" customHeight="1">
      <c r="A38" s="57" t="s">
        <v>101</v>
      </c>
      <c r="B38" s="58" t="s">
        <v>102</v>
      </c>
      <c r="C38" s="564">
        <f>'Bevételek COFOG szerint 2023'!C32</f>
        <v>0</v>
      </c>
      <c r="D38" s="601">
        <f t="shared" si="5"/>
        <v>0</v>
      </c>
      <c r="E38" s="613">
        <v>0</v>
      </c>
      <c r="F38" s="60">
        <f>'Bevételek COFOG szerint 2023'!F32</f>
        <v>0</v>
      </c>
    </row>
    <row r="39" spans="1:9" ht="24.95" customHeight="1">
      <c r="A39" s="57" t="s">
        <v>466</v>
      </c>
      <c r="B39" s="58" t="s">
        <v>491</v>
      </c>
      <c r="C39" s="564">
        <f>'Bevételek COFOG szerint 2023'!C34</f>
        <v>219940</v>
      </c>
      <c r="D39" s="63">
        <f t="shared" si="5"/>
        <v>0</v>
      </c>
      <c r="E39" s="613">
        <f t="shared" ref="E39" si="6">SUM(F39/C39*100)</f>
        <v>100</v>
      </c>
      <c r="F39" s="60">
        <f>'Bevételek COFOG szerint 2023'!F34</f>
        <v>219940</v>
      </c>
    </row>
    <row r="40" spans="1:9" ht="24.95" customHeight="1">
      <c r="A40" s="61" t="s">
        <v>387</v>
      </c>
      <c r="B40" s="58" t="s">
        <v>105</v>
      </c>
      <c r="C40" s="564">
        <v>0</v>
      </c>
      <c r="D40" s="59">
        <f t="shared" si="5"/>
        <v>0</v>
      </c>
      <c r="E40" s="613">
        <v>0</v>
      </c>
      <c r="F40" s="60">
        <v>0</v>
      </c>
    </row>
    <row r="41" spans="1:9" ht="39" customHeight="1" thickBot="1">
      <c r="A41" s="61" t="s">
        <v>106</v>
      </c>
      <c r="B41" s="62" t="s">
        <v>107</v>
      </c>
      <c r="C41" s="397">
        <v>0</v>
      </c>
      <c r="D41" s="55">
        <f t="shared" si="5"/>
        <v>0</v>
      </c>
      <c r="E41" s="613">
        <v>0</v>
      </c>
      <c r="F41" s="60">
        <v>0</v>
      </c>
    </row>
    <row r="42" spans="1:9" ht="28.5" customHeight="1" thickBot="1">
      <c r="A42" s="807" t="s">
        <v>108</v>
      </c>
      <c r="B42" s="807"/>
      <c r="C42" s="399">
        <f>SUM(C36:C41)</f>
        <v>3913940</v>
      </c>
      <c r="D42" s="67">
        <f>SUM(D36:D41)</f>
        <v>132000</v>
      </c>
      <c r="E42" s="316">
        <f>F42/C42*100</f>
        <v>103.37256064221731</v>
      </c>
      <c r="F42" s="68">
        <f>SUM(F36:F41)</f>
        <v>4045940</v>
      </c>
    </row>
    <row r="43" spans="1:9" ht="30" customHeight="1" thickBot="1">
      <c r="A43" s="74" t="s">
        <v>109</v>
      </c>
      <c r="B43" s="75" t="s">
        <v>110</v>
      </c>
      <c r="C43" s="76">
        <f>'Bevételek COFOG szerint 2023'!C93</f>
        <v>330961145</v>
      </c>
      <c r="D43" s="76">
        <f>F43-C43</f>
        <v>0</v>
      </c>
      <c r="E43" s="617">
        <f>'Bevételek COFOG szerint 2023'!E93</f>
        <v>100</v>
      </c>
      <c r="F43" s="76">
        <f>'Bevételek COFOG szerint 2023'!F93</f>
        <v>330961145</v>
      </c>
    </row>
    <row r="44" spans="1:9" ht="30" customHeight="1" thickBot="1">
      <c r="A44" s="277" t="s">
        <v>380</v>
      </c>
      <c r="B44" s="278" t="s">
        <v>381</v>
      </c>
      <c r="C44" s="279">
        <f>SUM('Bevételek COFOG szerint 2023'!C87)</f>
        <v>0</v>
      </c>
      <c r="D44" s="279">
        <f>SUM('Bevételek COFOG szerint 2023'!D87)</f>
        <v>0</v>
      </c>
      <c r="E44" s="767">
        <f>SUM('Bevételek COFOG szerint 2023'!E87)</f>
        <v>0</v>
      </c>
      <c r="F44" s="279">
        <f>SUM('Bevételek COFOG szerint 2023'!F87)</f>
        <v>0</v>
      </c>
    </row>
    <row r="45" spans="1:9" ht="24.95" customHeight="1" thickBot="1">
      <c r="A45" s="808" t="s">
        <v>111</v>
      </c>
      <c r="B45" s="808"/>
      <c r="C45" s="400">
        <f>SUM(C14+C17+C20+C25+C35+C42+C43+C44)</f>
        <v>667551738</v>
      </c>
      <c r="D45" s="400">
        <f>SUM(D14+D17+D20+D25+D35+D42+D43+D44)</f>
        <v>20660504</v>
      </c>
      <c r="E45" s="401">
        <f>F45/C45*100</f>
        <v>103.09496670054359</v>
      </c>
      <c r="F45" s="390">
        <f>F14+F17+F20+F25+F35+F42+F43+F44</f>
        <v>688212242</v>
      </c>
      <c r="I45" s="77"/>
    </row>
    <row r="48" spans="1:9">
      <c r="B48" s="78"/>
      <c r="C48" s="78"/>
    </row>
    <row r="49" spans="2:6">
      <c r="B49" s="120" t="s">
        <v>377</v>
      </c>
      <c r="C49" s="269">
        <f>C45-'Bevételek COFOG szerint 2023'!C175</f>
        <v>0</v>
      </c>
      <c r="D49" s="269">
        <f>D45-'Bevételek COFOG szerint 2023'!D175</f>
        <v>0</v>
      </c>
      <c r="E49" s="269"/>
      <c r="F49" s="269">
        <f>F45-'Bevételek COFOG szerint 2023'!F175</f>
        <v>0</v>
      </c>
    </row>
  </sheetData>
  <sheetProtection algorithmName="SHA-512" hashValue="d4Y2RvMTLg7pbHMl06+VKr1gsEKRgxCzQfIYakkWTPZbAZiKiXSImgM3QTYe0Id13e7fnds37B86PRw30Mhgsw==" saltValue="eSpt53vxoBH0mw7lWDZkyA==" spinCount="100000" sheet="1" objects="1" scenarios="1"/>
  <mergeCells count="13">
    <mergeCell ref="A2:F2"/>
    <mergeCell ref="A3:F3"/>
    <mergeCell ref="A5:F5"/>
    <mergeCell ref="A6:A7"/>
    <mergeCell ref="B6:B7"/>
    <mergeCell ref="C6:F6"/>
    <mergeCell ref="A42:B42"/>
    <mergeCell ref="A45:B45"/>
    <mergeCell ref="A14:B14"/>
    <mergeCell ref="A17:B17"/>
    <mergeCell ref="A20:B20"/>
    <mergeCell ref="A25:B25"/>
    <mergeCell ref="A35:B35"/>
  </mergeCells>
  <pageMargins left="0.98425196850393704" right="0.59055118110236227" top="0.59055118110236227" bottom="0.59055118110236227" header="0.51181102362204722" footer="0.51181102362204722"/>
  <pageSetup paperSize="9" scale="67" firstPageNumber="0" orientation="portrait" verticalDpi="300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opLeftCell="A50" zoomScaleNormal="100" workbookViewId="0">
      <selection activeCell="F57" sqref="F57:F62"/>
    </sheetView>
  </sheetViews>
  <sheetFormatPr defaultRowHeight="12.75"/>
  <cols>
    <col min="1" max="1" width="9.7109375" customWidth="1"/>
    <col min="2" max="2" width="42.28515625" customWidth="1"/>
    <col min="3" max="3" width="17.7109375" customWidth="1"/>
    <col min="4" max="4" width="16.7109375" customWidth="1"/>
    <col min="5" max="5" width="13" customWidth="1"/>
    <col min="6" max="6" width="16.7109375" style="79" customWidth="1"/>
    <col min="7" max="7" width="8.42578125" customWidth="1"/>
    <col min="8" max="8" width="25.42578125" style="111" bestFit="1" customWidth="1"/>
    <col min="9" max="9" width="13.85546875" style="111" customWidth="1"/>
    <col min="10" max="10" width="13.140625" bestFit="1" customWidth="1"/>
    <col min="11" max="11" width="15.85546875" customWidth="1"/>
    <col min="12" max="1024" width="8.42578125" customWidth="1"/>
  </cols>
  <sheetData>
    <row r="1" spans="1:10">
      <c r="F1" s="285" t="s">
        <v>112</v>
      </c>
    </row>
    <row r="2" spans="1:10" ht="15.75">
      <c r="A2" s="810" t="s">
        <v>723</v>
      </c>
      <c r="B2" s="810"/>
      <c r="C2" s="810"/>
      <c r="D2" s="810"/>
      <c r="E2" s="810"/>
      <c r="F2" s="810"/>
    </row>
    <row r="3" spans="1:10" ht="15.75">
      <c r="A3" s="810" t="s">
        <v>389</v>
      </c>
      <c r="B3" s="810"/>
      <c r="C3" s="810"/>
      <c r="D3" s="810"/>
      <c r="E3" s="810"/>
      <c r="F3" s="810"/>
    </row>
    <row r="4" spans="1:10" ht="20.25" customHeight="1" thickBot="1">
      <c r="F4" s="80" t="s">
        <v>45</v>
      </c>
    </row>
    <row r="5" spans="1:10" ht="19.5" customHeight="1" thickBot="1">
      <c r="A5" s="838" t="s">
        <v>113</v>
      </c>
      <c r="B5" s="838"/>
      <c r="C5" s="838"/>
      <c r="D5" s="838"/>
      <c r="E5" s="838"/>
      <c r="F5" s="838"/>
    </row>
    <row r="6" spans="1:10" s="39" customFormat="1" ht="19.5" customHeight="1" thickBot="1">
      <c r="A6" s="81"/>
      <c r="B6" s="81"/>
      <c r="C6" s="81"/>
      <c r="D6" s="81"/>
      <c r="E6" s="81"/>
      <c r="F6" s="81"/>
      <c r="H6" s="215"/>
      <c r="I6" s="215"/>
    </row>
    <row r="7" spans="1:10" ht="24.75" customHeight="1" thickBot="1">
      <c r="A7" s="839" t="s">
        <v>114</v>
      </c>
      <c r="B7" s="839"/>
      <c r="C7" s="839"/>
      <c r="D7" s="839"/>
      <c r="E7" s="839"/>
      <c r="F7" s="839"/>
    </row>
    <row r="8" spans="1:10" ht="15.75" customHeight="1" thickBot="1">
      <c r="A8" s="820" t="s">
        <v>46</v>
      </c>
      <c r="B8" s="821" t="s">
        <v>47</v>
      </c>
      <c r="C8" s="822">
        <v>2023</v>
      </c>
      <c r="D8" s="823"/>
      <c r="E8" s="823"/>
      <c r="F8" s="824"/>
    </row>
    <row r="9" spans="1:10" ht="24.75" customHeight="1" thickBot="1">
      <c r="A9" s="820"/>
      <c r="B9" s="821"/>
      <c r="C9" s="288" t="s">
        <v>48</v>
      </c>
      <c r="D9" s="288" t="s">
        <v>508</v>
      </c>
      <c r="E9" s="288" t="s">
        <v>383</v>
      </c>
      <c r="F9" s="746" t="s">
        <v>743</v>
      </c>
    </row>
    <row r="10" spans="1:10" ht="24.75" customHeight="1">
      <c r="A10" s="82" t="s">
        <v>115</v>
      </c>
      <c r="B10" s="83" t="s">
        <v>116</v>
      </c>
      <c r="C10" s="403">
        <v>0</v>
      </c>
      <c r="D10" s="84">
        <f t="shared" ref="D10:D31" si="0">F10-C10</f>
        <v>0</v>
      </c>
      <c r="E10" s="309"/>
      <c r="F10" s="85">
        <v>0</v>
      </c>
    </row>
    <row r="11" spans="1:10" ht="34.5" customHeight="1">
      <c r="A11" s="86" t="s">
        <v>60</v>
      </c>
      <c r="B11" s="87" t="s">
        <v>61</v>
      </c>
      <c r="C11" s="342">
        <v>0</v>
      </c>
      <c r="D11" s="84">
        <f t="shared" si="0"/>
        <v>0</v>
      </c>
      <c r="E11" s="309"/>
      <c r="F11" s="88">
        <v>0</v>
      </c>
    </row>
    <row r="12" spans="1:10" ht="22.5" customHeight="1">
      <c r="A12" s="86" t="s">
        <v>62</v>
      </c>
      <c r="B12" s="87" t="s">
        <v>63</v>
      </c>
      <c r="C12" s="342">
        <v>0</v>
      </c>
      <c r="D12" s="84">
        <f t="shared" si="0"/>
        <v>0</v>
      </c>
      <c r="E12" s="309"/>
      <c r="F12" s="88">
        <v>0</v>
      </c>
    </row>
    <row r="13" spans="1:10" ht="33.75" customHeight="1">
      <c r="A13" s="86" t="s">
        <v>106</v>
      </c>
      <c r="B13" s="87" t="s">
        <v>107</v>
      </c>
      <c r="C13" s="342">
        <v>0</v>
      </c>
      <c r="D13" s="84">
        <f t="shared" si="0"/>
        <v>0</v>
      </c>
      <c r="E13" s="309"/>
      <c r="F13" s="88"/>
      <c r="H13" s="215"/>
      <c r="I13" s="215"/>
      <c r="J13" s="89"/>
    </row>
    <row r="14" spans="1:10" ht="12.75" customHeight="1">
      <c r="A14" s="86" t="s">
        <v>117</v>
      </c>
      <c r="B14" s="87" t="s">
        <v>80</v>
      </c>
      <c r="C14" s="342">
        <v>0</v>
      </c>
      <c r="D14" s="84">
        <f t="shared" si="0"/>
        <v>0</v>
      </c>
      <c r="E14" s="309"/>
      <c r="F14" s="88"/>
    </row>
    <row r="15" spans="1:10" ht="12.75" customHeight="1">
      <c r="A15" s="86" t="s">
        <v>82</v>
      </c>
      <c r="B15" s="87" t="s">
        <v>83</v>
      </c>
      <c r="C15" s="342">
        <v>100000</v>
      </c>
      <c r="D15" s="84">
        <f t="shared" si="0"/>
        <v>0</v>
      </c>
      <c r="E15" s="309">
        <f t="shared" ref="E15:E34" si="1">F15/C15*100</f>
        <v>100</v>
      </c>
      <c r="F15" s="88">
        <v>100000</v>
      </c>
      <c r="G15" t="s">
        <v>575</v>
      </c>
    </row>
    <row r="16" spans="1:10" ht="12.75" customHeight="1">
      <c r="A16" s="114" t="s">
        <v>464</v>
      </c>
      <c r="B16" s="87" t="s">
        <v>465</v>
      </c>
      <c r="C16" s="342">
        <v>1620000</v>
      </c>
      <c r="D16" s="84">
        <f t="shared" si="0"/>
        <v>0</v>
      </c>
      <c r="E16" s="309">
        <f t="shared" si="1"/>
        <v>100</v>
      </c>
      <c r="F16" s="88">
        <v>1620000</v>
      </c>
    </row>
    <row r="17" spans="1:11" ht="12.75" customHeight="1">
      <c r="A17" s="840" t="s">
        <v>84</v>
      </c>
      <c r="B17" s="87" t="s">
        <v>85</v>
      </c>
      <c r="C17" s="342">
        <v>300000</v>
      </c>
      <c r="D17" s="84">
        <f t="shared" si="0"/>
        <v>0</v>
      </c>
      <c r="E17" s="309"/>
      <c r="F17" s="88">
        <v>300000</v>
      </c>
    </row>
    <row r="18" spans="1:11" ht="12.75" customHeight="1">
      <c r="A18" s="840"/>
      <c r="B18" s="90"/>
      <c r="C18" s="404"/>
      <c r="D18" s="84">
        <f t="shared" si="0"/>
        <v>0</v>
      </c>
      <c r="E18" s="309"/>
      <c r="F18" s="88"/>
    </row>
    <row r="19" spans="1:11" ht="12.75" customHeight="1">
      <c r="A19" s="86" t="s">
        <v>118</v>
      </c>
      <c r="B19" s="87" t="s">
        <v>89</v>
      </c>
      <c r="C19" s="342"/>
      <c r="D19" s="84">
        <f t="shared" si="0"/>
        <v>0</v>
      </c>
      <c r="E19" s="309"/>
      <c r="F19" s="88"/>
    </row>
    <row r="20" spans="1:11" ht="12.75" customHeight="1">
      <c r="A20" s="86" t="s">
        <v>90</v>
      </c>
      <c r="B20" s="87" t="s">
        <v>91</v>
      </c>
      <c r="C20" s="342"/>
      <c r="D20" s="84">
        <f t="shared" si="0"/>
        <v>337000</v>
      </c>
      <c r="E20" s="309">
        <v>0</v>
      </c>
      <c r="F20" s="88">
        <v>337000</v>
      </c>
      <c r="G20" s="111"/>
    </row>
    <row r="21" spans="1:11" ht="12.75" customHeight="1">
      <c r="A21" s="86" t="s">
        <v>92</v>
      </c>
      <c r="B21" s="87" t="s">
        <v>93</v>
      </c>
      <c r="C21" s="342"/>
      <c r="D21" s="84">
        <f t="shared" si="0"/>
        <v>0</v>
      </c>
      <c r="E21" s="309">
        <v>0</v>
      </c>
      <c r="F21" s="88"/>
      <c r="I21" s="523"/>
      <c r="J21" s="524"/>
    </row>
    <row r="22" spans="1:11" ht="12.75" customHeight="1">
      <c r="A22" s="86" t="s">
        <v>94</v>
      </c>
      <c r="B22" s="87" t="s">
        <v>95</v>
      </c>
      <c r="C22" s="342">
        <v>10000</v>
      </c>
      <c r="D22" s="84">
        <f t="shared" si="0"/>
        <v>0</v>
      </c>
      <c r="E22" s="309">
        <f t="shared" si="1"/>
        <v>100</v>
      </c>
      <c r="F22" s="88">
        <v>10000</v>
      </c>
      <c r="I22" s="525"/>
      <c r="J22" s="526"/>
    </row>
    <row r="23" spans="1:11" ht="12.75" customHeight="1">
      <c r="A23" s="91" t="s">
        <v>94</v>
      </c>
      <c r="B23" s="87"/>
      <c r="C23" s="342"/>
      <c r="D23" s="84">
        <f t="shared" si="0"/>
        <v>0</v>
      </c>
      <c r="E23" s="309"/>
      <c r="F23" s="88"/>
      <c r="I23" s="527"/>
      <c r="J23" s="526"/>
    </row>
    <row r="24" spans="1:11" ht="12.75" customHeight="1">
      <c r="A24" s="86" t="s">
        <v>99</v>
      </c>
      <c r="B24" s="195" t="s">
        <v>100</v>
      </c>
      <c r="C24" s="405">
        <v>3694000</v>
      </c>
      <c r="D24" s="84">
        <f t="shared" si="0"/>
        <v>132000</v>
      </c>
      <c r="E24" s="309">
        <f t="shared" si="1"/>
        <v>103.57336220898755</v>
      </c>
      <c r="F24" s="388">
        <f>SUM(F25:F31)</f>
        <v>3826000</v>
      </c>
      <c r="I24" s="527"/>
      <c r="J24" s="526"/>
      <c r="K24" s="111"/>
    </row>
    <row r="25" spans="1:11" ht="12.75" customHeight="1">
      <c r="A25" s="191"/>
      <c r="B25" s="195" t="s">
        <v>716</v>
      </c>
      <c r="C25" s="405">
        <v>118000</v>
      </c>
      <c r="D25" s="84">
        <f t="shared" si="0"/>
        <v>0</v>
      </c>
      <c r="E25" s="309"/>
      <c r="F25" s="88">
        <v>118000</v>
      </c>
      <c r="I25" s="527"/>
      <c r="J25" s="526"/>
      <c r="K25" s="111"/>
    </row>
    <row r="26" spans="1:11" ht="12.75" customHeight="1">
      <c r="A26" s="191"/>
      <c r="B26" s="195" t="s">
        <v>717</v>
      </c>
      <c r="C26" s="405">
        <v>121500</v>
      </c>
      <c r="D26" s="84">
        <f t="shared" si="0"/>
        <v>0</v>
      </c>
      <c r="E26" s="309"/>
      <c r="F26" s="88">
        <v>121500</v>
      </c>
      <c r="I26" s="527"/>
      <c r="J26" s="526"/>
      <c r="K26" s="111"/>
    </row>
    <row r="27" spans="1:11" ht="12.75" customHeight="1">
      <c r="A27" s="191"/>
      <c r="B27" s="195" t="s">
        <v>719</v>
      </c>
      <c r="C27" s="405">
        <v>182500</v>
      </c>
      <c r="D27" s="84">
        <f t="shared" si="0"/>
        <v>0</v>
      </c>
      <c r="E27" s="309"/>
      <c r="F27" s="88">
        <v>182500</v>
      </c>
      <c r="I27" s="527"/>
      <c r="J27" s="526"/>
      <c r="K27" s="111"/>
    </row>
    <row r="28" spans="1:11" ht="12.75" customHeight="1">
      <c r="A28" s="191"/>
      <c r="B28" s="195" t="s">
        <v>720</v>
      </c>
      <c r="C28" s="405">
        <v>46500</v>
      </c>
      <c r="D28" s="84">
        <f t="shared" si="0"/>
        <v>0</v>
      </c>
      <c r="E28" s="309"/>
      <c r="F28" s="88">
        <v>46500</v>
      </c>
      <c r="I28" s="527"/>
      <c r="J28" s="526"/>
      <c r="K28" s="111"/>
    </row>
    <row r="29" spans="1:11" ht="12.75" customHeight="1">
      <c r="A29" s="191"/>
      <c r="B29" s="200" t="s">
        <v>718</v>
      </c>
      <c r="C29" s="406">
        <v>86000</v>
      </c>
      <c r="D29" s="84">
        <f t="shared" si="0"/>
        <v>0</v>
      </c>
      <c r="E29" s="309"/>
      <c r="F29" s="387">
        <v>86000</v>
      </c>
      <c r="J29" s="69"/>
      <c r="K29" s="111"/>
    </row>
    <row r="30" spans="1:11" ht="12.75" customHeight="1">
      <c r="A30" s="191"/>
      <c r="B30" s="200" t="s">
        <v>715</v>
      </c>
      <c r="C30" s="406">
        <v>3139500</v>
      </c>
      <c r="D30" s="84">
        <f t="shared" si="0"/>
        <v>0</v>
      </c>
      <c r="E30" s="309"/>
      <c r="F30" s="387">
        <v>3139500</v>
      </c>
      <c r="J30" s="69"/>
      <c r="K30" s="111"/>
    </row>
    <row r="31" spans="1:11" ht="12.75" customHeight="1">
      <c r="A31" s="191"/>
      <c r="B31" s="200" t="s">
        <v>745</v>
      </c>
      <c r="C31" s="406">
        <v>0</v>
      </c>
      <c r="D31" s="84">
        <f t="shared" si="0"/>
        <v>132000</v>
      </c>
      <c r="E31" s="309"/>
      <c r="F31" s="387">
        <v>132000</v>
      </c>
      <c r="J31" s="69"/>
      <c r="K31" s="111"/>
    </row>
    <row r="32" spans="1:11" ht="21">
      <c r="A32" s="86" t="s">
        <v>101</v>
      </c>
      <c r="B32" s="87" t="s">
        <v>102</v>
      </c>
      <c r="C32" s="342"/>
      <c r="D32" s="84">
        <f>F32-C32</f>
        <v>0</v>
      </c>
      <c r="E32" s="309">
        <v>0</v>
      </c>
      <c r="F32" s="88"/>
      <c r="I32" s="697"/>
      <c r="J32" s="69"/>
    </row>
    <row r="33" spans="1:11">
      <c r="A33" s="86" t="s">
        <v>103</v>
      </c>
      <c r="B33" s="87" t="s">
        <v>104</v>
      </c>
      <c r="C33" s="342"/>
      <c r="D33" s="84">
        <f>F33-C33</f>
        <v>0</v>
      </c>
      <c r="E33" s="309"/>
      <c r="F33" s="88"/>
      <c r="J33" t="s">
        <v>578</v>
      </c>
      <c r="K33" t="s">
        <v>676</v>
      </c>
    </row>
    <row r="34" spans="1:11" ht="21.75" thickBot="1">
      <c r="A34" s="91" t="s">
        <v>466</v>
      </c>
      <c r="B34" s="92" t="s">
        <v>467</v>
      </c>
      <c r="C34" s="407">
        <v>219940</v>
      </c>
      <c r="D34" s="84">
        <f>F34-C34</f>
        <v>0</v>
      </c>
      <c r="E34" s="309">
        <f t="shared" si="1"/>
        <v>100</v>
      </c>
      <c r="F34" s="716">
        <v>219940</v>
      </c>
      <c r="G34" s="39"/>
      <c r="H34" s="111" t="s">
        <v>576</v>
      </c>
      <c r="I34" s="383">
        <v>99920</v>
      </c>
      <c r="J34" s="77">
        <v>99920</v>
      </c>
      <c r="K34">
        <v>0</v>
      </c>
    </row>
    <row r="35" spans="1:11" ht="19.5" customHeight="1" thickBot="1">
      <c r="A35" s="825" t="s">
        <v>119</v>
      </c>
      <c r="B35" s="825"/>
      <c r="C35" s="654">
        <f>SUM(C15+C16+C17+C22+C24+C32+C34)</f>
        <v>5943940</v>
      </c>
      <c r="D35" s="654">
        <f>SUM(D10:D24)</f>
        <v>469000</v>
      </c>
      <c r="E35" s="655">
        <f>F35/C35*100</f>
        <v>107.89038920312117</v>
      </c>
      <c r="F35" s="656">
        <f>F11+F15+F16+F17+F19+F20+F21+F22+F24+F32+F34</f>
        <v>6412940</v>
      </c>
      <c r="H35" s="111" t="s">
        <v>577</v>
      </c>
      <c r="I35" s="383">
        <v>20000</v>
      </c>
      <c r="J35" s="77">
        <v>20000</v>
      </c>
      <c r="K35">
        <v>0</v>
      </c>
    </row>
    <row r="36" spans="1:11" ht="24" customHeight="1" thickBot="1">
      <c r="A36" s="833" t="s">
        <v>281</v>
      </c>
      <c r="B36" s="833"/>
      <c r="C36" s="833"/>
      <c r="D36" s="833"/>
      <c r="E36" s="833"/>
      <c r="F36" s="833"/>
      <c r="H36" s="111" t="s">
        <v>651</v>
      </c>
      <c r="I36" s="383">
        <v>383310</v>
      </c>
      <c r="J36" s="77">
        <v>100020</v>
      </c>
      <c r="K36" s="77">
        <f>SUM(I36-J36)</f>
        <v>283290</v>
      </c>
    </row>
    <row r="37" spans="1:11" ht="17.25" customHeight="1" thickBot="1">
      <c r="A37" s="820" t="s">
        <v>46</v>
      </c>
      <c r="B37" s="821" t="s">
        <v>47</v>
      </c>
      <c r="C37" s="822">
        <v>2023</v>
      </c>
      <c r="D37" s="823"/>
      <c r="E37" s="823"/>
      <c r="F37" s="824"/>
      <c r="J37" s="119">
        <f>SUM(J34:J36)</f>
        <v>219940</v>
      </c>
    </row>
    <row r="38" spans="1:11" ht="26.25" customHeight="1" thickBot="1">
      <c r="A38" s="820"/>
      <c r="B38" s="821"/>
      <c r="C38" s="288" t="s">
        <v>48</v>
      </c>
      <c r="D38" s="288" t="s">
        <v>508</v>
      </c>
      <c r="E38" s="288" t="s">
        <v>383</v>
      </c>
      <c r="F38" s="746" t="s">
        <v>743</v>
      </c>
    </row>
    <row r="39" spans="1:11" ht="16.5" customHeight="1">
      <c r="A39" s="355" t="s">
        <v>84</v>
      </c>
      <c r="B39" s="381" t="s">
        <v>517</v>
      </c>
      <c r="C39" s="381">
        <v>1400000</v>
      </c>
      <c r="D39" s="599">
        <f>F39-C39</f>
        <v>0</v>
      </c>
      <c r="E39" s="408">
        <f>F39/C39*100</f>
        <v>100</v>
      </c>
      <c r="F39" s="382">
        <v>1400000</v>
      </c>
      <c r="I39" s="383"/>
    </row>
    <row r="40" spans="1:11" ht="16.5" customHeight="1" thickBot="1">
      <c r="A40" s="101" t="s">
        <v>94</v>
      </c>
      <c r="B40" s="378" t="s">
        <v>518</v>
      </c>
      <c r="C40" s="378">
        <v>1260000</v>
      </c>
      <c r="D40" s="321">
        <f>F40-C40</f>
        <v>0</v>
      </c>
      <c r="E40" s="602">
        <f>F40/C40*100</f>
        <v>100</v>
      </c>
      <c r="F40" s="380">
        <v>1260000</v>
      </c>
      <c r="H40" s="111" t="s">
        <v>652</v>
      </c>
      <c r="I40" s="383">
        <v>60000</v>
      </c>
    </row>
    <row r="41" spans="1:11" ht="18" customHeight="1" thickBot="1">
      <c r="A41" s="841" t="s">
        <v>119</v>
      </c>
      <c r="B41" s="841"/>
      <c r="C41" s="654">
        <f>C39+C40</f>
        <v>2660000</v>
      </c>
      <c r="D41" s="654">
        <f>SUM(D39:D40)</f>
        <v>0</v>
      </c>
      <c r="E41" s="655">
        <f>E39</f>
        <v>100</v>
      </c>
      <c r="F41" s="656">
        <f>SUM(F39:F40)</f>
        <v>2660000</v>
      </c>
      <c r="H41" s="111" t="s">
        <v>653</v>
      </c>
      <c r="I41" s="383">
        <v>50000</v>
      </c>
    </row>
    <row r="42" spans="1:11" ht="24" customHeight="1" thickBot="1">
      <c r="A42" s="833" t="s">
        <v>121</v>
      </c>
      <c r="B42" s="833"/>
      <c r="C42" s="833"/>
      <c r="D42" s="833"/>
      <c r="E42" s="833"/>
      <c r="F42" s="833"/>
      <c r="H42" s="111" t="s">
        <v>654</v>
      </c>
      <c r="I42" s="698">
        <v>15000</v>
      </c>
    </row>
    <row r="43" spans="1:11" ht="15.75" customHeight="1" thickBot="1">
      <c r="A43" s="820" t="s">
        <v>46</v>
      </c>
      <c r="B43" s="821" t="s">
        <v>47</v>
      </c>
      <c r="C43" s="822">
        <v>2023</v>
      </c>
      <c r="D43" s="823"/>
      <c r="E43" s="823"/>
      <c r="F43" s="824"/>
      <c r="I43" s="697">
        <f>SUM(I39:I42)</f>
        <v>125000</v>
      </c>
      <c r="J43" s="119">
        <f>SUM(I43*12)</f>
        <v>1500000</v>
      </c>
    </row>
    <row r="44" spans="1:11" ht="27.75" customHeight="1" thickBot="1">
      <c r="A44" s="820"/>
      <c r="B44" s="821"/>
      <c r="C44" s="288" t="s">
        <v>48</v>
      </c>
      <c r="D44" s="288" t="s">
        <v>508</v>
      </c>
      <c r="E44" s="288" t="s">
        <v>383</v>
      </c>
      <c r="F44" s="746" t="s">
        <v>743</v>
      </c>
    </row>
    <row r="45" spans="1:11" ht="27" customHeight="1">
      <c r="A45" s="634" t="s">
        <v>49</v>
      </c>
      <c r="B45" s="635" t="s">
        <v>50</v>
      </c>
      <c r="C45" s="636">
        <f>SUM(C46:C54)</f>
        <v>103972296</v>
      </c>
      <c r="D45" s="637">
        <f t="shared" ref="D45:D87" si="2">F45-C45</f>
        <v>4378080</v>
      </c>
      <c r="E45" s="638">
        <f>F45/C45*100</f>
        <v>104.21081400376116</v>
      </c>
      <c r="F45" s="639">
        <f>SUM(F46:F55)</f>
        <v>108350376</v>
      </c>
      <c r="H45" s="111" t="s">
        <v>656</v>
      </c>
      <c r="I45" s="383">
        <v>45000</v>
      </c>
    </row>
    <row r="46" spans="1:11" ht="27" customHeight="1">
      <c r="A46" s="384" t="s">
        <v>49</v>
      </c>
      <c r="B46" s="90" t="s">
        <v>468</v>
      </c>
      <c r="C46" s="629">
        <v>72147110</v>
      </c>
      <c r="D46" s="99">
        <f t="shared" si="2"/>
        <v>0</v>
      </c>
      <c r="E46" s="631"/>
      <c r="F46" s="385">
        <v>72147110</v>
      </c>
      <c r="H46" s="111" t="s">
        <v>655</v>
      </c>
      <c r="I46" s="383">
        <v>30000</v>
      </c>
    </row>
    <row r="47" spans="1:11" ht="27" customHeight="1">
      <c r="A47" s="97" t="s">
        <v>49</v>
      </c>
      <c r="B47" s="90" t="s">
        <v>122</v>
      </c>
      <c r="C47" s="630">
        <v>4446000</v>
      </c>
      <c r="D47" s="99">
        <f t="shared" si="2"/>
        <v>0</v>
      </c>
      <c r="E47" s="631"/>
      <c r="F47" s="98">
        <v>4446000</v>
      </c>
      <c r="H47" s="111" t="s">
        <v>657</v>
      </c>
      <c r="I47" s="698">
        <v>30000</v>
      </c>
      <c r="J47" s="119">
        <f>SUM(I48*12)</f>
        <v>1260000</v>
      </c>
    </row>
    <row r="48" spans="1:11" ht="20.100000000000001" customHeight="1">
      <c r="A48" s="97" t="s">
        <v>49</v>
      </c>
      <c r="B48" s="90" t="s">
        <v>123</v>
      </c>
      <c r="C48" s="630">
        <v>5527500</v>
      </c>
      <c r="D48" s="99">
        <f t="shared" si="2"/>
        <v>0</v>
      </c>
      <c r="E48" s="631"/>
      <c r="F48" s="98">
        <v>5527500</v>
      </c>
      <c r="I48" s="697">
        <f>SUM(I45:I47)</f>
        <v>105000</v>
      </c>
    </row>
    <row r="49" spans="1:6" ht="20.100000000000001" customHeight="1">
      <c r="A49" s="97" t="s">
        <v>49</v>
      </c>
      <c r="B49" s="90" t="s">
        <v>124</v>
      </c>
      <c r="C49" s="630">
        <v>885615</v>
      </c>
      <c r="D49" s="99">
        <f t="shared" si="2"/>
        <v>0</v>
      </c>
      <c r="E49" s="631"/>
      <c r="F49" s="98">
        <v>885615</v>
      </c>
    </row>
    <row r="50" spans="1:6" ht="20.100000000000001" customHeight="1">
      <c r="A50" s="97" t="s">
        <v>49</v>
      </c>
      <c r="B50" s="90" t="s">
        <v>125</v>
      </c>
      <c r="C50" s="630">
        <v>4539360</v>
      </c>
      <c r="D50" s="99">
        <f t="shared" si="2"/>
        <v>0</v>
      </c>
      <c r="E50" s="631"/>
      <c r="F50" s="98">
        <v>4539360</v>
      </c>
    </row>
    <row r="51" spans="1:6" ht="20.100000000000001" customHeight="1">
      <c r="A51" s="97" t="s">
        <v>49</v>
      </c>
      <c r="B51" s="90" t="s">
        <v>542</v>
      </c>
      <c r="C51" s="630">
        <v>8500000</v>
      </c>
      <c r="D51" s="99">
        <f t="shared" si="2"/>
        <v>0</v>
      </c>
      <c r="E51" s="631"/>
      <c r="F51" s="98">
        <v>8500000</v>
      </c>
    </row>
    <row r="52" spans="1:6" ht="20.100000000000001" customHeight="1">
      <c r="A52" s="97" t="s">
        <v>49</v>
      </c>
      <c r="B52" s="90" t="s">
        <v>543</v>
      </c>
      <c r="C52" s="630">
        <v>86700</v>
      </c>
      <c r="D52" s="99">
        <f t="shared" si="2"/>
        <v>0</v>
      </c>
      <c r="E52" s="631"/>
      <c r="F52" s="98">
        <v>86700</v>
      </c>
    </row>
    <row r="53" spans="1:6" ht="20.100000000000001" customHeight="1">
      <c r="A53" s="97" t="s">
        <v>49</v>
      </c>
      <c r="B53" s="90" t="s">
        <v>126</v>
      </c>
      <c r="C53" s="630">
        <v>3610011</v>
      </c>
      <c r="D53" s="99">
        <f t="shared" si="2"/>
        <v>0</v>
      </c>
      <c r="E53" s="631"/>
      <c r="F53" s="98">
        <v>3610011</v>
      </c>
    </row>
    <row r="54" spans="1:6" ht="20.100000000000001" customHeight="1">
      <c r="A54" s="97" t="s">
        <v>49</v>
      </c>
      <c r="B54" s="90" t="s">
        <v>688</v>
      </c>
      <c r="C54" s="630">
        <v>4230000</v>
      </c>
      <c r="D54" s="99">
        <f t="shared" si="2"/>
        <v>0</v>
      </c>
      <c r="E54" s="632"/>
      <c r="F54" s="98">
        <v>4230000</v>
      </c>
    </row>
    <row r="55" spans="1:6" ht="20.100000000000001" customHeight="1">
      <c r="A55" s="97" t="s">
        <v>49</v>
      </c>
      <c r="B55" s="90" t="s">
        <v>744</v>
      </c>
      <c r="C55" s="630">
        <v>0</v>
      </c>
      <c r="D55" s="99">
        <f t="shared" si="2"/>
        <v>4378080</v>
      </c>
      <c r="E55" s="748"/>
      <c r="F55" s="98">
        <v>4378080</v>
      </c>
    </row>
    <row r="56" spans="1:6" ht="27" customHeight="1">
      <c r="A56" s="640" t="s">
        <v>51</v>
      </c>
      <c r="B56" s="641" t="s">
        <v>127</v>
      </c>
      <c r="C56" s="642">
        <f>SUM(C57:C62)</f>
        <v>77081860</v>
      </c>
      <c r="D56" s="637">
        <f>F56-C56</f>
        <v>6750756</v>
      </c>
      <c r="E56" s="747">
        <f>F56/C56*100</f>
        <v>108.75790490784732</v>
      </c>
      <c r="F56" s="645">
        <f>SUM(F57:F63)</f>
        <v>83832616</v>
      </c>
    </row>
    <row r="57" spans="1:6" ht="20.100000000000001" customHeight="1">
      <c r="A57" s="97" t="s">
        <v>51</v>
      </c>
      <c r="B57" s="90" t="s">
        <v>612</v>
      </c>
      <c r="C57" s="630">
        <v>10140000</v>
      </c>
      <c r="D57" s="99">
        <f t="shared" si="2"/>
        <v>-429000</v>
      </c>
      <c r="E57" s="631"/>
      <c r="F57" s="98">
        <v>9711000</v>
      </c>
    </row>
    <row r="58" spans="1:6" ht="20.100000000000001" customHeight="1">
      <c r="A58" s="97" t="s">
        <v>51</v>
      </c>
      <c r="B58" s="90" t="s">
        <v>689</v>
      </c>
      <c r="C58" s="630">
        <v>5360000</v>
      </c>
      <c r="D58" s="99">
        <f t="shared" si="2"/>
        <v>0</v>
      </c>
      <c r="E58" s="631"/>
      <c r="F58" s="98">
        <v>5360000</v>
      </c>
    </row>
    <row r="59" spans="1:6" ht="20.100000000000001" customHeight="1">
      <c r="A59" s="97" t="s">
        <v>51</v>
      </c>
      <c r="B59" s="90" t="s">
        <v>613</v>
      </c>
      <c r="C59" s="630">
        <v>38945460</v>
      </c>
      <c r="D59" s="99">
        <f t="shared" si="2"/>
        <v>-1578870</v>
      </c>
      <c r="E59" s="631"/>
      <c r="F59" s="98">
        <v>37366590</v>
      </c>
    </row>
    <row r="60" spans="1:6" ht="20.100000000000001" customHeight="1">
      <c r="A60" s="97" t="s">
        <v>51</v>
      </c>
      <c r="B60" s="90" t="s">
        <v>754</v>
      </c>
      <c r="C60" s="630">
        <v>0</v>
      </c>
      <c r="D60" s="99">
        <f t="shared" si="2"/>
        <v>428720</v>
      </c>
      <c r="E60" s="631"/>
      <c r="F60" s="98">
        <v>428720</v>
      </c>
    </row>
    <row r="61" spans="1:6" ht="20.100000000000001" customHeight="1">
      <c r="A61" s="97" t="s">
        <v>51</v>
      </c>
      <c r="B61" s="90" t="s">
        <v>615</v>
      </c>
      <c r="C61" s="630">
        <v>3246400</v>
      </c>
      <c r="D61" s="99">
        <f>F61-C61</f>
        <v>-243480</v>
      </c>
      <c r="E61" s="631"/>
      <c r="F61" s="98">
        <v>3002920</v>
      </c>
    </row>
    <row r="62" spans="1:6" ht="20.100000000000001" customHeight="1">
      <c r="A62" s="97" t="s">
        <v>51</v>
      </c>
      <c r="B62" s="90" t="s">
        <v>614</v>
      </c>
      <c r="C62" s="630">
        <v>19390000</v>
      </c>
      <c r="D62" s="99">
        <f>F62-C62</f>
        <v>0</v>
      </c>
      <c r="E62" s="633"/>
      <c r="F62" s="98">
        <v>19390000</v>
      </c>
    </row>
    <row r="63" spans="1:6" ht="20.100000000000001" customHeight="1">
      <c r="A63" s="97" t="s">
        <v>51</v>
      </c>
      <c r="B63" s="90" t="s">
        <v>744</v>
      </c>
      <c r="C63" s="630">
        <v>0</v>
      </c>
      <c r="D63" s="99">
        <f>F63-C63</f>
        <v>8573386</v>
      </c>
      <c r="E63" s="633"/>
      <c r="F63" s="98">
        <v>8573386</v>
      </c>
    </row>
    <row r="64" spans="1:6" ht="34.5" customHeight="1">
      <c r="A64" s="646" t="s">
        <v>53</v>
      </c>
      <c r="B64" s="647" t="s">
        <v>618</v>
      </c>
      <c r="C64" s="648">
        <f>SUM(C65:C68)</f>
        <v>30113100</v>
      </c>
      <c r="D64" s="643">
        <f t="shared" si="2"/>
        <v>3292800</v>
      </c>
      <c r="E64" s="644">
        <f>F64/C64*100</f>
        <v>110.93477589487632</v>
      </c>
      <c r="F64" s="649">
        <f>SUM(F65:F69)</f>
        <v>33405900</v>
      </c>
    </row>
    <row r="65" spans="1:11" ht="20.100000000000001" customHeight="1">
      <c r="A65" s="100" t="s">
        <v>53</v>
      </c>
      <c r="B65" s="90" t="s">
        <v>128</v>
      </c>
      <c r="C65" s="409">
        <v>7997000</v>
      </c>
      <c r="D65" s="99">
        <f>F65-C65</f>
        <v>0</v>
      </c>
      <c r="E65" s="653"/>
      <c r="F65" s="98">
        <v>7997000</v>
      </c>
    </row>
    <row r="66" spans="1:11" ht="20.100000000000001" customHeight="1">
      <c r="A66" s="100" t="s">
        <v>53</v>
      </c>
      <c r="B66" s="90" t="s">
        <v>131</v>
      </c>
      <c r="C66" s="409"/>
      <c r="D66" s="99">
        <f t="shared" ref="D66:D70" si="3">F66-C66</f>
        <v>0</v>
      </c>
      <c r="E66" s="653"/>
      <c r="F66" s="98"/>
    </row>
    <row r="67" spans="1:11" ht="20.100000000000001" customHeight="1">
      <c r="A67" s="100" t="s">
        <v>53</v>
      </c>
      <c r="B67" s="90" t="s">
        <v>469</v>
      </c>
      <c r="C67" s="409">
        <v>21812000</v>
      </c>
      <c r="D67" s="99">
        <f t="shared" si="3"/>
        <v>0</v>
      </c>
      <c r="E67" s="653"/>
      <c r="F67" s="98">
        <v>21812000</v>
      </c>
    </row>
    <row r="68" spans="1:11" ht="20.100000000000001" customHeight="1">
      <c r="A68" s="100" t="s">
        <v>53</v>
      </c>
      <c r="B68" s="90" t="s">
        <v>510</v>
      </c>
      <c r="C68" s="409">
        <v>304100</v>
      </c>
      <c r="D68" s="99">
        <f t="shared" si="3"/>
        <v>0</v>
      </c>
      <c r="E68" s="653"/>
      <c r="F68" s="98">
        <v>304100</v>
      </c>
    </row>
    <row r="69" spans="1:11" ht="20.100000000000001" customHeight="1">
      <c r="A69" s="97" t="s">
        <v>53</v>
      </c>
      <c r="B69" s="90" t="s">
        <v>744</v>
      </c>
      <c r="C69" s="409">
        <v>0</v>
      </c>
      <c r="D69" s="99">
        <f t="shared" si="3"/>
        <v>3292800</v>
      </c>
      <c r="E69" s="749"/>
      <c r="F69" s="98">
        <v>3292800</v>
      </c>
    </row>
    <row r="70" spans="1:11" ht="34.5" customHeight="1">
      <c r="A70" s="650" t="s">
        <v>616</v>
      </c>
      <c r="B70" s="647" t="s">
        <v>617</v>
      </c>
      <c r="C70" s="648">
        <f>SUM(C71:C73)</f>
        <v>26804634</v>
      </c>
      <c r="D70" s="651">
        <f t="shared" si="3"/>
        <v>1099578</v>
      </c>
      <c r="E70" s="644">
        <f t="shared" ref="E70" si="4">F70/C70*100</f>
        <v>104.10219367292983</v>
      </c>
      <c r="F70" s="649">
        <f>SUM(F71:F74)</f>
        <v>27904212</v>
      </c>
    </row>
    <row r="71" spans="1:11" ht="24" customHeight="1">
      <c r="A71" s="97" t="s">
        <v>616</v>
      </c>
      <c r="B71" s="90" t="s">
        <v>129</v>
      </c>
      <c r="C71" s="409">
        <v>13906545</v>
      </c>
      <c r="D71" s="99">
        <f t="shared" si="2"/>
        <v>-243027</v>
      </c>
      <c r="E71" s="311"/>
      <c r="F71" s="98">
        <v>13663518</v>
      </c>
    </row>
    <row r="72" spans="1:11" ht="20.100000000000001" customHeight="1">
      <c r="A72" s="97" t="s">
        <v>616</v>
      </c>
      <c r="B72" s="90" t="s">
        <v>130</v>
      </c>
      <c r="C72" s="409">
        <v>12898089</v>
      </c>
      <c r="D72" s="99">
        <f t="shared" si="2"/>
        <v>0</v>
      </c>
      <c r="E72" s="311"/>
      <c r="F72" s="98">
        <v>12898089</v>
      </c>
    </row>
    <row r="73" spans="1:11" ht="20.100000000000001" customHeight="1">
      <c r="A73" s="97" t="s">
        <v>616</v>
      </c>
      <c r="B73" s="90" t="s">
        <v>619</v>
      </c>
      <c r="C73" s="409"/>
      <c r="D73" s="99">
        <f t="shared" si="2"/>
        <v>0</v>
      </c>
      <c r="E73" s="311"/>
      <c r="F73" s="98"/>
    </row>
    <row r="74" spans="1:11" ht="20.100000000000001" customHeight="1">
      <c r="A74" s="97" t="s">
        <v>616</v>
      </c>
      <c r="B74" s="90" t="s">
        <v>744</v>
      </c>
      <c r="C74" s="750">
        <v>0</v>
      </c>
      <c r="D74" s="99">
        <f t="shared" si="2"/>
        <v>1342605</v>
      </c>
      <c r="E74" s="311"/>
      <c r="F74" s="385">
        <v>1342605</v>
      </c>
    </row>
    <row r="75" spans="1:11" ht="27.75" customHeight="1">
      <c r="A75" s="652" t="s">
        <v>55</v>
      </c>
      <c r="B75" s="635" t="s">
        <v>56</v>
      </c>
      <c r="C75" s="636">
        <f>SUM(C76)</f>
        <v>5800273</v>
      </c>
      <c r="D75" s="637">
        <f>SUM(F75-C75)</f>
        <v>494000</v>
      </c>
      <c r="E75" s="638">
        <f>F75/C75*100</f>
        <v>108.51684050043851</v>
      </c>
      <c r="F75" s="639">
        <f>SUM(F76:F77)</f>
        <v>6294273</v>
      </c>
      <c r="K75" s="111"/>
    </row>
    <row r="76" spans="1:11" ht="27.75" customHeight="1">
      <c r="A76" s="114" t="s">
        <v>55</v>
      </c>
      <c r="B76" s="87" t="s">
        <v>379</v>
      </c>
      <c r="C76" s="410">
        <v>5800273</v>
      </c>
      <c r="D76" s="272">
        <f t="shared" si="2"/>
        <v>0</v>
      </c>
      <c r="E76" s="714">
        <f>SUM(F76/C76*100)</f>
        <v>100</v>
      </c>
      <c r="F76" s="273">
        <v>5800273</v>
      </c>
      <c r="K76" s="111"/>
    </row>
    <row r="77" spans="1:11" ht="21.75" customHeight="1">
      <c r="A77" s="97" t="s">
        <v>55</v>
      </c>
      <c r="B77" s="90" t="s">
        <v>744</v>
      </c>
      <c r="C77" s="751">
        <v>0</v>
      </c>
      <c r="D77" s="272">
        <f t="shared" si="2"/>
        <v>494000</v>
      </c>
      <c r="E77" s="310">
        <v>0</v>
      </c>
      <c r="F77" s="752">
        <v>494000</v>
      </c>
      <c r="K77" s="111"/>
    </row>
    <row r="78" spans="1:11" ht="27.75" customHeight="1">
      <c r="A78" s="652" t="s">
        <v>57</v>
      </c>
      <c r="B78" s="635" t="s">
        <v>665</v>
      </c>
      <c r="C78" s="636">
        <f>SUM(C79:C82)</f>
        <v>0</v>
      </c>
      <c r="D78" s="637">
        <f t="shared" si="2"/>
        <v>0</v>
      </c>
      <c r="E78" s="638"/>
      <c r="F78" s="639">
        <f>SUM(F79:F82)</f>
        <v>0</v>
      </c>
      <c r="K78" s="111"/>
    </row>
    <row r="79" spans="1:11">
      <c r="A79" s="102" t="s">
        <v>57</v>
      </c>
      <c r="B79" s="92" t="s">
        <v>666</v>
      </c>
      <c r="C79" s="411"/>
      <c r="D79" s="272">
        <f t="shared" si="2"/>
        <v>0</v>
      </c>
      <c r="E79" s="310"/>
      <c r="F79" s="103"/>
      <c r="H79" s="120"/>
    </row>
    <row r="80" spans="1:11">
      <c r="A80" s="114" t="s">
        <v>57</v>
      </c>
      <c r="B80" s="92" t="s">
        <v>667</v>
      </c>
      <c r="C80" s="411"/>
      <c r="D80" s="272">
        <f t="shared" si="2"/>
        <v>0</v>
      </c>
      <c r="E80" s="310"/>
      <c r="F80" s="273"/>
    </row>
    <row r="81" spans="1:11">
      <c r="A81" s="91" t="s">
        <v>57</v>
      </c>
      <c r="B81" s="92" t="s">
        <v>668</v>
      </c>
      <c r="C81" s="411"/>
      <c r="D81" s="272">
        <f t="shared" si="2"/>
        <v>0</v>
      </c>
      <c r="E81" s="310"/>
      <c r="F81" s="103"/>
      <c r="I81" s="111">
        <v>0</v>
      </c>
    </row>
    <row r="82" spans="1:11">
      <c r="A82" s="114" t="s">
        <v>57</v>
      </c>
      <c r="B82" s="87" t="s">
        <v>669</v>
      </c>
      <c r="C82" s="410"/>
      <c r="D82" s="272">
        <f t="shared" si="2"/>
        <v>0</v>
      </c>
      <c r="E82" s="714"/>
      <c r="F82" s="273"/>
    </row>
    <row r="83" spans="1:11" ht="27.75" customHeight="1">
      <c r="A83" s="634" t="s">
        <v>470</v>
      </c>
      <c r="B83" s="635" t="s">
        <v>746</v>
      </c>
      <c r="C83" s="636">
        <f>SUM(C84)</f>
        <v>242630</v>
      </c>
      <c r="D83" s="636">
        <f t="shared" ref="D83:E83" si="5">SUM(D84)</f>
        <v>25476</v>
      </c>
      <c r="E83" s="754">
        <f t="shared" si="5"/>
        <v>110.49993817747188</v>
      </c>
      <c r="F83" s="639">
        <f>SUM(F84)</f>
        <v>268106</v>
      </c>
      <c r="K83" s="111"/>
    </row>
    <row r="84" spans="1:11">
      <c r="A84" s="91" t="s">
        <v>470</v>
      </c>
      <c r="B84" s="92" t="s">
        <v>721</v>
      </c>
      <c r="C84" s="411">
        <v>242630</v>
      </c>
      <c r="D84" s="272">
        <f t="shared" si="2"/>
        <v>25476</v>
      </c>
      <c r="E84" s="310">
        <f>SUM(F84/C84*100)</f>
        <v>110.49993817747188</v>
      </c>
      <c r="F84" s="103">
        <v>268106</v>
      </c>
    </row>
    <row r="85" spans="1:11" ht="26.25" customHeight="1">
      <c r="A85" s="91" t="s">
        <v>62</v>
      </c>
      <c r="B85" s="92" t="s">
        <v>533</v>
      </c>
      <c r="C85" s="411"/>
      <c r="D85" s="272">
        <f t="shared" si="2"/>
        <v>0</v>
      </c>
      <c r="E85" s="310"/>
      <c r="F85" s="103"/>
      <c r="G85" s="239"/>
    </row>
    <row r="86" spans="1:11" ht="26.25" customHeight="1">
      <c r="A86" s="91" t="s">
        <v>65</v>
      </c>
      <c r="B86" s="92" t="s">
        <v>519</v>
      </c>
      <c r="C86" s="411"/>
      <c r="D86" s="272">
        <f t="shared" si="2"/>
        <v>0</v>
      </c>
      <c r="E86" s="310"/>
      <c r="F86" s="103"/>
      <c r="J86" s="77"/>
    </row>
    <row r="87" spans="1:11" ht="26.25" customHeight="1" thickBot="1">
      <c r="A87" s="104" t="s">
        <v>380</v>
      </c>
      <c r="B87" s="331" t="s">
        <v>381</v>
      </c>
      <c r="C87" s="412"/>
      <c r="D87" s="272">
        <f t="shared" si="2"/>
        <v>0</v>
      </c>
      <c r="E87" s="310"/>
      <c r="F87" s="386"/>
    </row>
    <row r="88" spans="1:11" ht="23.25" customHeight="1" thickBot="1">
      <c r="A88" s="825" t="s">
        <v>119</v>
      </c>
      <c r="B88" s="825"/>
      <c r="C88" s="657">
        <f>SUM(C45+C56+C64+C75+C78+C85+C86+C87+C70+C83)</f>
        <v>244014793</v>
      </c>
      <c r="D88" s="657">
        <f>SUM(D45+D56+D64+D70+D75+D78+D85+D86+D87+D83)</f>
        <v>16040690</v>
      </c>
      <c r="E88" s="658">
        <f>F88/C88*100</f>
        <v>106.57365473739947</v>
      </c>
      <c r="F88" s="659">
        <f>F45+F56+F64+F75+F78+F85+F86+F87+F70+F83</f>
        <v>260055483</v>
      </c>
    </row>
    <row r="89" spans="1:11" ht="23.25" customHeight="1" thickBot="1">
      <c r="A89" s="833" t="s">
        <v>132</v>
      </c>
      <c r="B89" s="833"/>
      <c r="C89" s="833"/>
      <c r="D89" s="833"/>
      <c r="E89" s="833"/>
      <c r="F89" s="833"/>
    </row>
    <row r="90" spans="1:11" ht="17.25" customHeight="1" thickBot="1">
      <c r="A90" s="820" t="s">
        <v>46</v>
      </c>
      <c r="B90" s="821" t="s">
        <v>47</v>
      </c>
      <c r="C90" s="822">
        <v>2023</v>
      </c>
      <c r="D90" s="823"/>
      <c r="E90" s="823"/>
      <c r="F90" s="824"/>
    </row>
    <row r="91" spans="1:11" ht="27.75" customHeight="1" thickBot="1">
      <c r="A91" s="820"/>
      <c r="B91" s="821"/>
      <c r="C91" s="288" t="s">
        <v>48</v>
      </c>
      <c r="D91" s="288" t="s">
        <v>508</v>
      </c>
      <c r="E91" s="288" t="s">
        <v>383</v>
      </c>
      <c r="F91" s="746" t="s">
        <v>743</v>
      </c>
    </row>
    <row r="92" spans="1:11" ht="23.25" customHeight="1">
      <c r="A92" s="86" t="s">
        <v>57</v>
      </c>
      <c r="B92" s="87" t="s">
        <v>58</v>
      </c>
      <c r="C92" s="87"/>
      <c r="D92" s="106"/>
      <c r="E92" s="106"/>
      <c r="F92" s="107"/>
    </row>
    <row r="93" spans="1:11" ht="24" customHeight="1" thickBot="1">
      <c r="A93" s="102" t="s">
        <v>109</v>
      </c>
      <c r="B93" s="92" t="s">
        <v>110</v>
      </c>
      <c r="C93" s="95">
        <v>330961145</v>
      </c>
      <c r="D93" s="108">
        <f>F93-C93</f>
        <v>0</v>
      </c>
      <c r="E93" s="313">
        <f>F93/C93*100</f>
        <v>100</v>
      </c>
      <c r="F93" s="109">
        <v>330961145</v>
      </c>
      <c r="G93" s="39"/>
      <c r="I93" s="383"/>
    </row>
    <row r="94" spans="1:11" ht="18.75" customHeight="1" thickBot="1">
      <c r="A94" s="825" t="s">
        <v>119</v>
      </c>
      <c r="B94" s="825"/>
      <c r="C94" s="654">
        <f>C93</f>
        <v>330961145</v>
      </c>
      <c r="D94" s="654">
        <f>D93</f>
        <v>0</v>
      </c>
      <c r="E94" s="655">
        <f>E93</f>
        <v>100</v>
      </c>
      <c r="F94" s="656">
        <f>SUM(F92:F93)</f>
        <v>330961145</v>
      </c>
    </row>
    <row r="95" spans="1:11" ht="21" customHeight="1" thickBot="1">
      <c r="A95" s="833" t="s">
        <v>384</v>
      </c>
      <c r="B95" s="833"/>
      <c r="C95" s="833"/>
      <c r="D95" s="833"/>
      <c r="E95" s="833"/>
      <c r="F95" s="833"/>
    </row>
    <row r="96" spans="1:11" ht="17.25" customHeight="1" thickBot="1">
      <c r="A96" s="820" t="s">
        <v>46</v>
      </c>
      <c r="B96" s="821" t="s">
        <v>47</v>
      </c>
      <c r="C96" s="822">
        <v>2023</v>
      </c>
      <c r="D96" s="823"/>
      <c r="E96" s="823"/>
      <c r="F96" s="824"/>
    </row>
    <row r="97" spans="1:11" ht="24.75" customHeight="1" thickBot="1">
      <c r="A97" s="820"/>
      <c r="B97" s="821"/>
      <c r="C97" s="288" t="s">
        <v>48</v>
      </c>
      <c r="D97" s="288" t="s">
        <v>508</v>
      </c>
      <c r="E97" s="288" t="s">
        <v>383</v>
      </c>
      <c r="F97" s="746" t="s">
        <v>743</v>
      </c>
    </row>
    <row r="98" spans="1:11" ht="25.5" customHeight="1" thickBot="1">
      <c r="A98" s="102" t="s">
        <v>62</v>
      </c>
      <c r="B98" s="755" t="s">
        <v>63</v>
      </c>
      <c r="C98" s="756">
        <v>3000000</v>
      </c>
      <c r="D98" s="419">
        <f>F98-C98</f>
        <v>0</v>
      </c>
      <c r="E98" s="218">
        <f>F98/C98*100</f>
        <v>100</v>
      </c>
      <c r="F98" s="110">
        <v>3000000</v>
      </c>
      <c r="G98" s="69"/>
      <c r="K98" s="77"/>
    </row>
    <row r="99" spans="1:11" ht="18.75" customHeight="1" thickBot="1">
      <c r="A99" s="829" t="s">
        <v>119</v>
      </c>
      <c r="B99" s="829"/>
      <c r="C99" s="660">
        <f>C98</f>
        <v>3000000</v>
      </c>
      <c r="D99" s="660">
        <f>SUM(D98)</f>
        <v>0</v>
      </c>
      <c r="E99" s="661">
        <f>SUM(E98)</f>
        <v>100</v>
      </c>
      <c r="F99" s="662">
        <f>F98</f>
        <v>3000000</v>
      </c>
      <c r="K99" s="77"/>
    </row>
    <row r="100" spans="1:11" ht="18.75" hidden="1" customHeight="1" thickBot="1">
      <c r="A100" s="833" t="s">
        <v>415</v>
      </c>
      <c r="B100" s="833"/>
      <c r="C100" s="833"/>
      <c r="D100" s="833"/>
      <c r="E100" s="833"/>
      <c r="F100" s="833"/>
      <c r="K100" s="77"/>
    </row>
    <row r="101" spans="1:11" ht="18.75" hidden="1" customHeight="1" thickBot="1">
      <c r="A101" s="820" t="s">
        <v>46</v>
      </c>
      <c r="B101" s="821" t="s">
        <v>47</v>
      </c>
      <c r="C101" s="835">
        <v>2021</v>
      </c>
      <c r="D101" s="836"/>
      <c r="E101" s="837"/>
      <c r="F101" s="834" t="s">
        <v>611</v>
      </c>
      <c r="K101" s="77"/>
    </row>
    <row r="102" spans="1:11" ht="18.75" hidden="1" customHeight="1" thickBot="1">
      <c r="A102" s="820"/>
      <c r="B102" s="821"/>
      <c r="C102" s="288" t="s">
        <v>48</v>
      </c>
      <c r="D102" s="288" t="s">
        <v>508</v>
      </c>
      <c r="E102" s="288" t="s">
        <v>383</v>
      </c>
      <c r="F102" s="834"/>
      <c r="K102" s="77"/>
    </row>
    <row r="103" spans="1:11" ht="24.75" hidden="1" customHeight="1" thickBot="1">
      <c r="A103" s="102" t="s">
        <v>62</v>
      </c>
      <c r="B103" s="92" t="s">
        <v>63</v>
      </c>
      <c r="C103" s="92">
        <v>0</v>
      </c>
      <c r="D103" s="95">
        <f>F103-C103</f>
        <v>0</v>
      </c>
      <c r="E103" s="218"/>
      <c r="F103" s="110">
        <v>0</v>
      </c>
      <c r="K103" s="77"/>
    </row>
    <row r="104" spans="1:11" ht="18.75" hidden="1" customHeight="1" thickBot="1">
      <c r="A104" s="829" t="s">
        <v>119</v>
      </c>
      <c r="B104" s="829"/>
      <c r="C104" s="660">
        <f>C103</f>
        <v>0</v>
      </c>
      <c r="D104" s="660">
        <f>SUM(D103)</f>
        <v>0</v>
      </c>
      <c r="E104" s="661">
        <f>SUM(E103)</f>
        <v>0</v>
      </c>
      <c r="F104" s="662">
        <f>F103</f>
        <v>0</v>
      </c>
      <c r="K104" s="77"/>
    </row>
    <row r="105" spans="1:11" ht="24" customHeight="1" thickBot="1">
      <c r="A105" s="833" t="s">
        <v>133</v>
      </c>
      <c r="B105" s="833"/>
      <c r="C105" s="833"/>
      <c r="D105" s="833"/>
      <c r="E105" s="833"/>
      <c r="F105" s="833"/>
    </row>
    <row r="106" spans="1:11" ht="17.25" customHeight="1" thickBot="1">
      <c r="A106" s="820" t="s">
        <v>46</v>
      </c>
      <c r="B106" s="821" t="s">
        <v>47</v>
      </c>
      <c r="C106" s="822">
        <v>2023</v>
      </c>
      <c r="D106" s="823"/>
      <c r="E106" s="823"/>
      <c r="F106" s="824"/>
    </row>
    <row r="107" spans="1:11" ht="26.25" customHeight="1" thickBot="1">
      <c r="A107" s="820"/>
      <c r="B107" s="821"/>
      <c r="C107" s="288" t="s">
        <v>48</v>
      </c>
      <c r="D107" s="288" t="s">
        <v>508</v>
      </c>
      <c r="E107" s="288" t="s">
        <v>383</v>
      </c>
      <c r="F107" s="746" t="s">
        <v>743</v>
      </c>
    </row>
    <row r="108" spans="1:11" ht="16.5" customHeight="1">
      <c r="A108" s="86" t="s">
        <v>84</v>
      </c>
      <c r="B108" s="87" t="s">
        <v>85</v>
      </c>
      <c r="C108" s="342">
        <v>6000000</v>
      </c>
      <c r="D108" s="106">
        <f>F108-C108</f>
        <v>2859550</v>
      </c>
      <c r="E108" s="188">
        <f>F108/C108*100</f>
        <v>147.65916666666666</v>
      </c>
      <c r="F108" s="107">
        <v>8859550</v>
      </c>
    </row>
    <row r="109" spans="1:11" ht="18" customHeight="1" thickBot="1">
      <c r="A109" s="102" t="s">
        <v>88</v>
      </c>
      <c r="B109" s="92" t="s">
        <v>89</v>
      </c>
      <c r="C109" s="407">
        <v>1620000</v>
      </c>
      <c r="D109" s="106">
        <f>F109-C109</f>
        <v>772079</v>
      </c>
      <c r="E109" s="188">
        <f>F109/C109*100</f>
        <v>147.65919753086422</v>
      </c>
      <c r="F109" s="96">
        <v>2392079</v>
      </c>
    </row>
    <row r="110" spans="1:11" ht="18.75" customHeight="1" thickBot="1">
      <c r="A110" s="829" t="s">
        <v>119</v>
      </c>
      <c r="B110" s="829"/>
      <c r="C110" s="663">
        <f>SUM(C108:C109)</f>
        <v>7620000</v>
      </c>
      <c r="D110" s="660">
        <f>SUM(D108:D109)</f>
        <v>3631629</v>
      </c>
      <c r="E110" s="661">
        <f>F110/C110*100</f>
        <v>147.65917322834645</v>
      </c>
      <c r="F110" s="664">
        <f>SUM(F108:F109)</f>
        <v>11251629</v>
      </c>
    </row>
    <row r="111" spans="1:11" ht="18.75" customHeight="1" thickBot="1">
      <c r="A111" s="830" t="s">
        <v>500</v>
      </c>
      <c r="B111" s="831"/>
      <c r="C111" s="831"/>
      <c r="D111" s="831"/>
      <c r="E111" s="831"/>
      <c r="F111" s="832"/>
    </row>
    <row r="112" spans="1:11" ht="18.75" customHeight="1" thickBot="1">
      <c r="A112" s="820" t="s">
        <v>46</v>
      </c>
      <c r="B112" s="821" t="s">
        <v>47</v>
      </c>
      <c r="C112" s="822">
        <v>2023</v>
      </c>
      <c r="D112" s="823"/>
      <c r="E112" s="823"/>
      <c r="F112" s="824"/>
    </row>
    <row r="113" spans="1:10" ht="18.75" customHeight="1" thickBot="1">
      <c r="A113" s="820"/>
      <c r="B113" s="821"/>
      <c r="C113" s="288" t="s">
        <v>48</v>
      </c>
      <c r="D113" s="288" t="s">
        <v>508</v>
      </c>
      <c r="E113" s="288" t="s">
        <v>383</v>
      </c>
      <c r="F113" s="746" t="s">
        <v>743</v>
      </c>
    </row>
    <row r="114" spans="1:10" ht="26.25" customHeight="1" thickBot="1">
      <c r="A114" s="91" t="s">
        <v>62</v>
      </c>
      <c r="B114" s="92" t="s">
        <v>506</v>
      </c>
      <c r="C114" s="544">
        <v>0</v>
      </c>
      <c r="D114" s="95">
        <f>F114-C114</f>
        <v>0</v>
      </c>
      <c r="E114" s="218"/>
      <c r="F114" s="96">
        <v>0</v>
      </c>
    </row>
    <row r="115" spans="1:10" ht="18.75" customHeight="1" thickBot="1">
      <c r="A115" s="825" t="s">
        <v>119</v>
      </c>
      <c r="B115" s="825"/>
      <c r="C115" s="665">
        <v>0</v>
      </c>
      <c r="D115" s="654">
        <f>SUM(D114)</f>
        <v>0</v>
      </c>
      <c r="E115" s="655"/>
      <c r="F115" s="656">
        <f>SUM(F114)</f>
        <v>0</v>
      </c>
    </row>
    <row r="116" spans="1:10" ht="18.75" customHeight="1" thickBot="1">
      <c r="A116" s="817" t="s">
        <v>475</v>
      </c>
      <c r="B116" s="818"/>
      <c r="C116" s="818"/>
      <c r="D116" s="818"/>
      <c r="E116" s="818"/>
      <c r="F116" s="819"/>
    </row>
    <row r="117" spans="1:10" ht="18.75" customHeight="1" thickBot="1">
      <c r="A117" s="820" t="s">
        <v>46</v>
      </c>
      <c r="B117" s="821" t="s">
        <v>47</v>
      </c>
      <c r="C117" s="822">
        <v>2023</v>
      </c>
      <c r="D117" s="823"/>
      <c r="E117" s="823"/>
      <c r="F117" s="824"/>
    </row>
    <row r="118" spans="1:10" ht="18.75" customHeight="1" thickBot="1">
      <c r="A118" s="820"/>
      <c r="B118" s="821"/>
      <c r="C118" s="288" t="s">
        <v>48</v>
      </c>
      <c r="D118" s="288" t="s">
        <v>508</v>
      </c>
      <c r="E118" s="288" t="s">
        <v>383</v>
      </c>
      <c r="F118" s="746" t="s">
        <v>743</v>
      </c>
    </row>
    <row r="119" spans="1:10" ht="24.75" customHeight="1" thickBot="1">
      <c r="A119" s="91" t="s">
        <v>62</v>
      </c>
      <c r="B119" s="92" t="s">
        <v>593</v>
      </c>
      <c r="C119" s="95">
        <v>0</v>
      </c>
      <c r="D119" s="95">
        <f>F119-C119</f>
        <v>466985</v>
      </c>
      <c r="E119" s="218">
        <v>0</v>
      </c>
      <c r="F119" s="96">
        <v>466985</v>
      </c>
    </row>
    <row r="120" spans="1:10" ht="18.75" customHeight="1" thickBot="1">
      <c r="A120" s="825" t="s">
        <v>119</v>
      </c>
      <c r="B120" s="825"/>
      <c r="C120" s="654">
        <f>SUM(C119)</f>
        <v>0</v>
      </c>
      <c r="D120" s="654">
        <f>SUM(D119)</f>
        <v>466985</v>
      </c>
      <c r="E120" s="655">
        <f>SUM(E119)</f>
        <v>0</v>
      </c>
      <c r="F120" s="656">
        <f>SUM(F119)</f>
        <v>466985</v>
      </c>
    </row>
    <row r="121" spans="1:10" ht="25.5" customHeight="1" thickBot="1">
      <c r="A121" s="817" t="s">
        <v>134</v>
      </c>
      <c r="B121" s="818"/>
      <c r="C121" s="818"/>
      <c r="D121" s="818"/>
      <c r="E121" s="818"/>
      <c r="F121" s="819"/>
    </row>
    <row r="122" spans="1:10" ht="18.75" customHeight="1" thickBot="1">
      <c r="A122" s="820" t="s">
        <v>46</v>
      </c>
      <c r="B122" s="821" t="s">
        <v>47</v>
      </c>
      <c r="C122" s="822">
        <v>2023</v>
      </c>
      <c r="D122" s="823"/>
      <c r="E122" s="823"/>
      <c r="F122" s="824"/>
    </row>
    <row r="123" spans="1:10" ht="26.25" customHeight="1" thickBot="1">
      <c r="A123" s="820"/>
      <c r="B123" s="821"/>
      <c r="C123" s="288" t="s">
        <v>48</v>
      </c>
      <c r="D123" s="288" t="s">
        <v>508</v>
      </c>
      <c r="E123" s="288" t="s">
        <v>383</v>
      </c>
      <c r="F123" s="746" t="s">
        <v>743</v>
      </c>
    </row>
    <row r="124" spans="1:10" ht="27" customHeight="1" thickBot="1">
      <c r="A124" s="102" t="s">
        <v>62</v>
      </c>
      <c r="B124" s="92" t="s">
        <v>135</v>
      </c>
      <c r="C124" s="715">
        <v>4936200</v>
      </c>
      <c r="D124" s="419">
        <f>F124-C124</f>
        <v>-52200</v>
      </c>
      <c r="E124" s="218">
        <f>F124/C124*100</f>
        <v>98.942506381427009</v>
      </c>
      <c r="F124" s="96">
        <v>4884000</v>
      </c>
      <c r="J124" s="77"/>
    </row>
    <row r="125" spans="1:10" ht="18" customHeight="1" thickBot="1">
      <c r="A125" s="825" t="s">
        <v>119</v>
      </c>
      <c r="B125" s="825"/>
      <c r="C125" s="666">
        <f>SUM(C124)</f>
        <v>4936200</v>
      </c>
      <c r="D125" s="654">
        <f>SUM(D124)</f>
        <v>-52200</v>
      </c>
      <c r="E125" s="655">
        <f>SUM(E124)</f>
        <v>98.942506381427009</v>
      </c>
      <c r="F125" s="656">
        <f>SUM(F124)</f>
        <v>4884000</v>
      </c>
    </row>
    <row r="126" spans="1:10" ht="18" customHeight="1" thickBot="1">
      <c r="A126" s="817" t="s">
        <v>747</v>
      </c>
      <c r="B126" s="818"/>
      <c r="C126" s="818"/>
      <c r="D126" s="818"/>
      <c r="E126" s="818"/>
      <c r="F126" s="819"/>
    </row>
    <row r="127" spans="1:10" ht="18" customHeight="1" thickBot="1">
      <c r="A127" s="820" t="s">
        <v>46</v>
      </c>
      <c r="B127" s="821" t="s">
        <v>47</v>
      </c>
      <c r="C127" s="822">
        <v>2023</v>
      </c>
      <c r="D127" s="823"/>
      <c r="E127" s="823"/>
      <c r="F127" s="824"/>
    </row>
    <row r="128" spans="1:10" ht="18" customHeight="1" thickBot="1">
      <c r="A128" s="820"/>
      <c r="B128" s="821"/>
      <c r="C128" s="288" t="s">
        <v>48</v>
      </c>
      <c r="D128" s="288" t="s">
        <v>508</v>
      </c>
      <c r="E128" s="288" t="s">
        <v>383</v>
      </c>
      <c r="F128" s="746" t="s">
        <v>743</v>
      </c>
    </row>
    <row r="129" spans="1:6" ht="21.75" thickBot="1">
      <c r="A129" s="102" t="s">
        <v>62</v>
      </c>
      <c r="B129" s="92" t="s">
        <v>748</v>
      </c>
      <c r="C129" s="715">
        <v>0</v>
      </c>
      <c r="D129" s="419">
        <f>F129-C129</f>
        <v>104400</v>
      </c>
      <c r="E129" s="218">
        <v>0</v>
      </c>
      <c r="F129" s="96">
        <v>104400</v>
      </c>
    </row>
    <row r="130" spans="1:6" ht="18" customHeight="1" thickBot="1">
      <c r="A130" s="825" t="s">
        <v>119</v>
      </c>
      <c r="B130" s="825"/>
      <c r="C130" s="666">
        <f>SUM(C129)</f>
        <v>0</v>
      </c>
      <c r="D130" s="654">
        <f>SUM(D129)</f>
        <v>104400</v>
      </c>
      <c r="E130" s="655">
        <f>SUM(E129)</f>
        <v>0</v>
      </c>
      <c r="F130" s="656">
        <f>SUM(F129)</f>
        <v>104400</v>
      </c>
    </row>
    <row r="131" spans="1:6" ht="22.5" customHeight="1" thickBot="1">
      <c r="A131" s="833" t="s">
        <v>430</v>
      </c>
      <c r="B131" s="833"/>
      <c r="C131" s="833"/>
      <c r="D131" s="833"/>
      <c r="E131" s="833"/>
      <c r="F131" s="833"/>
    </row>
    <row r="132" spans="1:6" ht="18" customHeight="1" thickBot="1">
      <c r="A132" s="820" t="s">
        <v>46</v>
      </c>
      <c r="B132" s="821" t="s">
        <v>47</v>
      </c>
      <c r="C132" s="822">
        <v>2023</v>
      </c>
      <c r="D132" s="823"/>
      <c r="E132" s="823"/>
      <c r="F132" s="824"/>
    </row>
    <row r="133" spans="1:6" ht="26.25" customHeight="1" thickBot="1">
      <c r="A133" s="820"/>
      <c r="B133" s="821"/>
      <c r="C133" s="288" t="s">
        <v>48</v>
      </c>
      <c r="D133" s="288" t="s">
        <v>508</v>
      </c>
      <c r="E133" s="288" t="s">
        <v>383</v>
      </c>
      <c r="F133" s="746" t="s">
        <v>743</v>
      </c>
    </row>
    <row r="134" spans="1:6" ht="32.25" thickBot="1">
      <c r="A134" s="114" t="s">
        <v>476</v>
      </c>
      <c r="B134" s="87" t="s">
        <v>477</v>
      </c>
      <c r="C134" s="402">
        <v>0</v>
      </c>
      <c r="D134" s="106">
        <f>F134-C134</f>
        <v>0</v>
      </c>
      <c r="E134" s="188">
        <v>0</v>
      </c>
      <c r="F134" s="107">
        <v>0</v>
      </c>
    </row>
    <row r="135" spans="1:6" ht="18.75" customHeight="1" thickBot="1">
      <c r="A135" s="825" t="s">
        <v>119</v>
      </c>
      <c r="B135" s="825"/>
      <c r="C135" s="665">
        <v>0</v>
      </c>
      <c r="D135" s="654">
        <f>SUM(D134:D134)</f>
        <v>0</v>
      </c>
      <c r="E135" s="655"/>
      <c r="F135" s="656">
        <f>SUM(F134:F134)</f>
        <v>0</v>
      </c>
    </row>
    <row r="136" spans="1:6" ht="24" customHeight="1" thickBot="1">
      <c r="A136" s="828" t="s">
        <v>136</v>
      </c>
      <c r="B136" s="828"/>
      <c r="C136" s="828"/>
      <c r="D136" s="828"/>
      <c r="E136" s="828"/>
      <c r="F136" s="828"/>
    </row>
    <row r="137" spans="1:6" ht="19.5" customHeight="1" thickBot="1">
      <c r="A137" s="820" t="s">
        <v>46</v>
      </c>
      <c r="B137" s="821" t="s">
        <v>47</v>
      </c>
      <c r="C137" s="822">
        <v>2023</v>
      </c>
      <c r="D137" s="823"/>
      <c r="E137" s="823"/>
      <c r="F137" s="824"/>
    </row>
    <row r="138" spans="1:6" ht="24" customHeight="1" thickBot="1">
      <c r="A138" s="820"/>
      <c r="B138" s="821"/>
      <c r="C138" s="288" t="s">
        <v>48</v>
      </c>
      <c r="D138" s="288" t="s">
        <v>508</v>
      </c>
      <c r="E138" s="288" t="s">
        <v>383</v>
      </c>
      <c r="F138" s="746" t="s">
        <v>743</v>
      </c>
    </row>
    <row r="139" spans="1:6" ht="12.75" customHeight="1">
      <c r="A139" s="86" t="s">
        <v>86</v>
      </c>
      <c r="B139" s="87" t="s">
        <v>87</v>
      </c>
      <c r="C139" s="342">
        <v>4000000</v>
      </c>
      <c r="D139" s="106">
        <f>F139-C139</f>
        <v>0</v>
      </c>
      <c r="E139" s="188">
        <f>F139/C139*100</f>
        <v>100</v>
      </c>
      <c r="F139" s="107">
        <v>4000000</v>
      </c>
    </row>
    <row r="140" spans="1:6" ht="12.75" customHeight="1" thickBot="1">
      <c r="A140" s="102" t="s">
        <v>88</v>
      </c>
      <c r="B140" s="92" t="s">
        <v>89</v>
      </c>
      <c r="C140" s="407">
        <v>1080000</v>
      </c>
      <c r="D140" s="106">
        <f>F140-C140</f>
        <v>0</v>
      </c>
      <c r="E140" s="188">
        <f>F140/C140*100</f>
        <v>100</v>
      </c>
      <c r="F140" s="96">
        <v>1080000</v>
      </c>
    </row>
    <row r="141" spans="1:6" ht="18" customHeight="1" thickBot="1">
      <c r="A141" s="825" t="s">
        <v>119</v>
      </c>
      <c r="B141" s="825"/>
      <c r="C141" s="666">
        <f>SUM(C139:C140)</f>
        <v>5080000</v>
      </c>
      <c r="D141" s="654">
        <f>SUM(D139:D140)</f>
        <v>0</v>
      </c>
      <c r="E141" s="655">
        <f>F141/C141*100</f>
        <v>100</v>
      </c>
      <c r="F141" s="656">
        <f>SUM(F139:F140)</f>
        <v>5080000</v>
      </c>
    </row>
    <row r="142" spans="1:6" ht="18" customHeight="1" thickBot="1">
      <c r="A142" s="828" t="s">
        <v>598</v>
      </c>
      <c r="B142" s="828"/>
      <c r="C142" s="828"/>
      <c r="D142" s="828"/>
      <c r="E142" s="828"/>
      <c r="F142" s="828"/>
    </row>
    <row r="143" spans="1:6" ht="18" customHeight="1" thickBot="1">
      <c r="A143" s="820" t="s">
        <v>46</v>
      </c>
      <c r="B143" s="821" t="s">
        <v>47</v>
      </c>
      <c r="C143" s="822">
        <v>2023</v>
      </c>
      <c r="D143" s="823"/>
      <c r="E143" s="823"/>
      <c r="F143" s="824"/>
    </row>
    <row r="144" spans="1:6" ht="18" customHeight="1" thickBot="1">
      <c r="A144" s="820"/>
      <c r="B144" s="821"/>
      <c r="C144" s="288" t="s">
        <v>48</v>
      </c>
      <c r="D144" s="288" t="s">
        <v>508</v>
      </c>
      <c r="E144" s="288" t="s">
        <v>383</v>
      </c>
      <c r="F144" s="746" t="s">
        <v>743</v>
      </c>
    </row>
    <row r="145" spans="1:6" ht="18" customHeight="1">
      <c r="A145" s="114" t="s">
        <v>712</v>
      </c>
      <c r="B145" s="87" t="s">
        <v>600</v>
      </c>
      <c r="C145" s="342">
        <v>258000</v>
      </c>
      <c r="D145" s="106">
        <f>SUM(F145-C145)</f>
        <v>0</v>
      </c>
      <c r="E145" s="188">
        <v>0</v>
      </c>
      <c r="F145" s="107">
        <v>258000</v>
      </c>
    </row>
    <row r="146" spans="1:6" ht="18" customHeight="1" thickBot="1">
      <c r="A146" s="101" t="s">
        <v>88</v>
      </c>
      <c r="B146" s="427" t="s">
        <v>89</v>
      </c>
      <c r="C146" s="722">
        <v>69660</v>
      </c>
      <c r="D146" s="106">
        <f>SUM(F146-C146)</f>
        <v>0</v>
      </c>
      <c r="E146" s="723">
        <v>0</v>
      </c>
      <c r="F146" s="380">
        <v>69660</v>
      </c>
    </row>
    <row r="147" spans="1:6" ht="18" customHeight="1" thickBot="1">
      <c r="A147" s="825" t="s">
        <v>119</v>
      </c>
      <c r="B147" s="825"/>
      <c r="C147" s="666">
        <f>SUM(C145:C146)</f>
        <v>327660</v>
      </c>
      <c r="D147" s="654">
        <f>SUM(D145:D146)</f>
        <v>0</v>
      </c>
      <c r="E147" s="655">
        <v>0</v>
      </c>
      <c r="F147" s="656">
        <f>SUM(F145:F146)</f>
        <v>327660</v>
      </c>
    </row>
    <row r="148" spans="1:6" ht="18" customHeight="1" thickBot="1">
      <c r="A148" s="828" t="s">
        <v>478</v>
      </c>
      <c r="B148" s="828"/>
      <c r="C148" s="828"/>
      <c r="D148" s="828"/>
      <c r="E148" s="828"/>
      <c r="F148" s="828"/>
    </row>
    <row r="149" spans="1:6" ht="18" customHeight="1" thickBot="1">
      <c r="A149" s="820" t="s">
        <v>46</v>
      </c>
      <c r="B149" s="821" t="s">
        <v>47</v>
      </c>
      <c r="C149" s="822">
        <v>2023</v>
      </c>
      <c r="D149" s="823"/>
      <c r="E149" s="823"/>
      <c r="F149" s="824"/>
    </row>
    <row r="150" spans="1:6" ht="18" customHeight="1" thickBot="1">
      <c r="A150" s="820"/>
      <c r="B150" s="821"/>
      <c r="C150" s="288" t="s">
        <v>48</v>
      </c>
      <c r="D150" s="288" t="s">
        <v>508</v>
      </c>
      <c r="E150" s="288" t="s">
        <v>383</v>
      </c>
      <c r="F150" s="746" t="s">
        <v>743</v>
      </c>
    </row>
    <row r="151" spans="1:6" ht="18" customHeight="1" thickBot="1">
      <c r="A151" s="86" t="s">
        <v>86</v>
      </c>
      <c r="B151" s="87" t="s">
        <v>87</v>
      </c>
      <c r="C151" s="107">
        <v>0</v>
      </c>
      <c r="D151" s="106">
        <f>F151-C151</f>
        <v>0</v>
      </c>
      <c r="E151" s="188">
        <v>0</v>
      </c>
      <c r="F151" s="107">
        <v>0</v>
      </c>
    </row>
    <row r="152" spans="1:6" ht="18" customHeight="1" thickBot="1">
      <c r="A152" s="825" t="s">
        <v>119</v>
      </c>
      <c r="B152" s="825"/>
      <c r="C152" s="666">
        <f>SUM(C151)</f>
        <v>0</v>
      </c>
      <c r="D152" s="654">
        <f>SUM(D151:D151)</f>
        <v>0</v>
      </c>
      <c r="E152" s="655">
        <v>0</v>
      </c>
      <c r="F152" s="656">
        <f>SUM(F151:F151)</f>
        <v>0</v>
      </c>
    </row>
    <row r="153" spans="1:6" ht="18" customHeight="1" thickBot="1">
      <c r="A153" s="828" t="s">
        <v>451</v>
      </c>
      <c r="B153" s="828"/>
      <c r="C153" s="828"/>
      <c r="D153" s="828"/>
      <c r="E153" s="828"/>
      <c r="F153" s="828"/>
    </row>
    <row r="154" spans="1:6" ht="18" customHeight="1" thickBot="1">
      <c r="A154" s="820" t="s">
        <v>46</v>
      </c>
      <c r="B154" s="821" t="s">
        <v>47</v>
      </c>
      <c r="C154" s="822">
        <v>2023</v>
      </c>
      <c r="D154" s="823"/>
      <c r="E154" s="823"/>
      <c r="F154" s="824"/>
    </row>
    <row r="155" spans="1:6" ht="18" customHeight="1" thickBot="1">
      <c r="A155" s="820"/>
      <c r="B155" s="821"/>
      <c r="C155" s="288" t="s">
        <v>48</v>
      </c>
      <c r="D155" s="288" t="s">
        <v>508</v>
      </c>
      <c r="E155" s="288" t="s">
        <v>383</v>
      </c>
      <c r="F155" s="746" t="s">
        <v>743</v>
      </c>
    </row>
    <row r="156" spans="1:6" ht="18" customHeight="1">
      <c r="A156" s="86" t="s">
        <v>86</v>
      </c>
      <c r="B156" s="87" t="s">
        <v>87</v>
      </c>
      <c r="C156" s="106">
        <v>400000</v>
      </c>
      <c r="D156" s="106">
        <f>F156-C156</f>
        <v>0</v>
      </c>
      <c r="E156" s="188">
        <f>F156/C156*100</f>
        <v>100</v>
      </c>
      <c r="F156" s="107">
        <v>400000</v>
      </c>
    </row>
    <row r="157" spans="1:6" ht="18" customHeight="1" thickBot="1">
      <c r="A157" s="102" t="s">
        <v>88</v>
      </c>
      <c r="B157" s="92" t="s">
        <v>89</v>
      </c>
      <c r="C157" s="95">
        <v>108000</v>
      </c>
      <c r="D157" s="106">
        <f>F157-C157</f>
        <v>0</v>
      </c>
      <c r="E157" s="188">
        <f>F157/C157*100</f>
        <v>100</v>
      </c>
      <c r="F157" s="96">
        <v>108000</v>
      </c>
    </row>
    <row r="158" spans="1:6" ht="18" customHeight="1" thickBot="1">
      <c r="A158" s="825" t="s">
        <v>119</v>
      </c>
      <c r="B158" s="825"/>
      <c r="C158" s="654">
        <f>SUM(C156:C157)</f>
        <v>508000</v>
      </c>
      <c r="D158" s="654">
        <f>SUM(D156:D157)</f>
        <v>0</v>
      </c>
      <c r="E158" s="655">
        <f>F158/C158*100</f>
        <v>100</v>
      </c>
      <c r="F158" s="656">
        <f>SUM(F156:F157)</f>
        <v>508000</v>
      </c>
    </row>
    <row r="159" spans="1:6" ht="25.5" customHeight="1" thickBot="1">
      <c r="A159" s="827" t="s">
        <v>137</v>
      </c>
      <c r="B159" s="827"/>
      <c r="C159" s="827"/>
      <c r="D159" s="827"/>
      <c r="E159" s="827"/>
      <c r="F159" s="827"/>
    </row>
    <row r="160" spans="1:6" ht="15.75" customHeight="1" thickBot="1">
      <c r="A160" s="820" t="s">
        <v>46</v>
      </c>
      <c r="B160" s="821" t="s">
        <v>47</v>
      </c>
      <c r="C160" s="822">
        <v>2023</v>
      </c>
      <c r="D160" s="823"/>
      <c r="E160" s="823"/>
      <c r="F160" s="824"/>
    </row>
    <row r="161" spans="1:6" ht="26.25" customHeight="1" thickBot="1">
      <c r="A161" s="820"/>
      <c r="B161" s="821"/>
      <c r="C161" s="288" t="s">
        <v>48</v>
      </c>
      <c r="D161" s="288" t="s">
        <v>508</v>
      </c>
      <c r="E161" s="288" t="s">
        <v>383</v>
      </c>
      <c r="F161" s="746" t="s">
        <v>743</v>
      </c>
    </row>
    <row r="162" spans="1:6" ht="21" customHeight="1">
      <c r="A162" s="86" t="s">
        <v>66</v>
      </c>
      <c r="B162" s="87" t="s">
        <v>67</v>
      </c>
      <c r="C162" s="342">
        <v>7000000</v>
      </c>
      <c r="D162" s="106">
        <f t="shared" ref="D162:D172" si="6">F162-C162</f>
        <v>0</v>
      </c>
      <c r="E162" s="188">
        <f>F162/C162*100</f>
        <v>100</v>
      </c>
      <c r="F162" s="107">
        <v>7000000</v>
      </c>
    </row>
    <row r="163" spans="1:6" ht="22.5" customHeight="1">
      <c r="A163" s="86" t="s">
        <v>68</v>
      </c>
      <c r="B163" s="87" t="s">
        <v>69</v>
      </c>
      <c r="C163" s="342">
        <v>55000000</v>
      </c>
      <c r="D163" s="106">
        <f t="shared" si="6"/>
        <v>0</v>
      </c>
      <c r="E163" s="188">
        <f t="shared" ref="E163:E165" si="7">F163/C163*100</f>
        <v>100</v>
      </c>
      <c r="F163" s="113">
        <v>55000000</v>
      </c>
    </row>
    <row r="164" spans="1:6" ht="24.75" customHeight="1">
      <c r="A164" s="86" t="s">
        <v>70</v>
      </c>
      <c r="B164" s="87" t="s">
        <v>71</v>
      </c>
      <c r="C164" s="342"/>
      <c r="D164" s="106">
        <f t="shared" si="6"/>
        <v>0</v>
      </c>
      <c r="E164" s="188">
        <v>0</v>
      </c>
      <c r="F164" s="107"/>
    </row>
    <row r="165" spans="1:6" ht="22.5" customHeight="1">
      <c r="A165" s="114" t="s">
        <v>479</v>
      </c>
      <c r="B165" s="87" t="s">
        <v>480</v>
      </c>
      <c r="C165" s="342">
        <v>200000</v>
      </c>
      <c r="D165" s="106">
        <f t="shared" si="6"/>
        <v>0</v>
      </c>
      <c r="E165" s="188">
        <f t="shared" si="7"/>
        <v>100</v>
      </c>
      <c r="F165" s="107">
        <v>200000</v>
      </c>
    </row>
    <row r="166" spans="1:6" ht="22.5" customHeight="1">
      <c r="A166" s="114" t="s">
        <v>573</v>
      </c>
      <c r="B166" s="87" t="s">
        <v>574</v>
      </c>
      <c r="C166" s="342"/>
      <c r="D166" s="106">
        <f t="shared" si="6"/>
        <v>0</v>
      </c>
      <c r="E166" s="188">
        <v>0</v>
      </c>
      <c r="F166" s="107"/>
    </row>
    <row r="167" spans="1:6" ht="33" customHeight="1">
      <c r="A167" s="86" t="s">
        <v>72</v>
      </c>
      <c r="B167" s="87" t="s">
        <v>73</v>
      </c>
      <c r="C167" s="342"/>
      <c r="D167" s="106">
        <f t="shared" si="6"/>
        <v>0</v>
      </c>
      <c r="E167" s="188"/>
      <c r="F167" s="107"/>
    </row>
    <row r="168" spans="1:6" ht="12.75" customHeight="1">
      <c r="A168" s="86" t="s">
        <v>74</v>
      </c>
      <c r="B168" s="87" t="s">
        <v>75</v>
      </c>
      <c r="C168" s="342"/>
      <c r="D168" s="106">
        <f t="shared" si="6"/>
        <v>0</v>
      </c>
      <c r="E168" s="188"/>
      <c r="F168" s="107"/>
    </row>
    <row r="169" spans="1:6" ht="12.75" customHeight="1">
      <c r="A169" s="86" t="s">
        <v>76</v>
      </c>
      <c r="B169" s="87" t="s">
        <v>77</v>
      </c>
      <c r="C169" s="342">
        <v>300000</v>
      </c>
      <c r="D169" s="106">
        <f t="shared" si="6"/>
        <v>0</v>
      </c>
      <c r="E169" s="188">
        <f>F169/C169*100</f>
        <v>100</v>
      </c>
      <c r="F169" s="107">
        <v>300000</v>
      </c>
    </row>
    <row r="170" spans="1:6" ht="12.75" customHeight="1">
      <c r="A170" s="86" t="s">
        <v>78</v>
      </c>
      <c r="B170" s="87" t="s">
        <v>79</v>
      </c>
      <c r="C170" s="342"/>
      <c r="D170" s="106">
        <f t="shared" si="6"/>
        <v>0</v>
      </c>
      <c r="E170" s="188"/>
      <c r="F170" s="107"/>
    </row>
    <row r="171" spans="1:6" ht="12.75" customHeight="1">
      <c r="A171" s="86" t="s">
        <v>92</v>
      </c>
      <c r="B171" s="87" t="s">
        <v>93</v>
      </c>
      <c r="C171" s="342"/>
      <c r="D171" s="106">
        <f t="shared" si="6"/>
        <v>0</v>
      </c>
      <c r="E171" s="188"/>
      <c r="F171" s="107"/>
    </row>
    <row r="172" spans="1:6" ht="21.75" thickBot="1">
      <c r="A172" s="102" t="s">
        <v>96</v>
      </c>
      <c r="B172" s="92" t="s">
        <v>97</v>
      </c>
      <c r="C172" s="407"/>
      <c r="D172" s="106">
        <f t="shared" si="6"/>
        <v>0</v>
      </c>
      <c r="E172" s="188"/>
      <c r="F172" s="96"/>
    </row>
    <row r="173" spans="1:6" ht="17.25" customHeight="1" thickBot="1">
      <c r="A173" s="825" t="s">
        <v>119</v>
      </c>
      <c r="B173" s="825"/>
      <c r="C173" s="666">
        <f>SUM(C162:C172)</f>
        <v>62500000</v>
      </c>
      <c r="D173" s="654">
        <f>SUM(D162:D172)</f>
        <v>0</v>
      </c>
      <c r="E173" s="655">
        <f>F173/C173*100</f>
        <v>100</v>
      </c>
      <c r="F173" s="656">
        <f>SUM(F162:F172)</f>
        <v>62500000</v>
      </c>
    </row>
    <row r="174" spans="1:6" ht="21.75" customHeight="1" thickBot="1">
      <c r="D174" s="77"/>
      <c r="E174" s="77"/>
      <c r="F174" s="115"/>
    </row>
    <row r="175" spans="1:6" ht="20.25" customHeight="1" thickBot="1">
      <c r="A175" s="826" t="s">
        <v>139</v>
      </c>
      <c r="B175" s="826"/>
      <c r="C175" s="116">
        <f>C35+C41+C88+C94+C99+C110+C125+C135+C141+C173+C158+C152+C120+C104+C115+C147</f>
        <v>667551738</v>
      </c>
      <c r="D175" s="116">
        <f>D35+D41+D88+D94+D99+D110+D125+D135+D141+D173+D158+D152+D120+D104+D115+D147+D130</f>
        <v>20660504</v>
      </c>
      <c r="E175" s="389">
        <f>F175/C175*100</f>
        <v>103.09496670054359</v>
      </c>
      <c r="F175" s="117">
        <f>F35+F41+F88+F94+F99+F110+F125+F135+F141+F173+F158+F152+F120+F104+F115+F147+F130</f>
        <v>688212242</v>
      </c>
    </row>
    <row r="178" spans="2:6">
      <c r="F178" s="391">
        <f>F175-'Kiadások részletes COFOG'!F535</f>
        <v>0</v>
      </c>
    </row>
    <row r="179" spans="2:6">
      <c r="B179" s="118"/>
      <c r="C179" s="118"/>
      <c r="D179" s="119"/>
    </row>
    <row r="180" spans="2:6">
      <c r="D180" s="77"/>
    </row>
    <row r="181" spans="2:6">
      <c r="D181" s="77"/>
    </row>
    <row r="182" spans="2:6">
      <c r="D182" s="77"/>
      <c r="E182" s="120"/>
    </row>
    <row r="183" spans="2:6">
      <c r="D183" s="77"/>
    </row>
  </sheetData>
  <autoFilter ref="A1:A183"/>
  <mergeCells count="91">
    <mergeCell ref="C154:F154"/>
    <mergeCell ref="C112:F112"/>
    <mergeCell ref="C117:F117"/>
    <mergeCell ref="C122:F122"/>
    <mergeCell ref="A95:F95"/>
    <mergeCell ref="A96:A97"/>
    <mergeCell ref="B96:B97"/>
    <mergeCell ref="A99:B99"/>
    <mergeCell ref="A105:F105"/>
    <mergeCell ref="A106:A107"/>
    <mergeCell ref="A125:B125"/>
    <mergeCell ref="A131:F131"/>
    <mergeCell ref="A132:A133"/>
    <mergeCell ref="B132:B133"/>
    <mergeCell ref="A148:F148"/>
    <mergeCell ref="C132:F132"/>
    <mergeCell ref="C8:F8"/>
    <mergeCell ref="C37:F37"/>
    <mergeCell ref="C43:F43"/>
    <mergeCell ref="C90:F90"/>
    <mergeCell ref="C96:F96"/>
    <mergeCell ref="C137:F137"/>
    <mergeCell ref="C143:F143"/>
    <mergeCell ref="A149:A150"/>
    <mergeCell ref="B149:B150"/>
    <mergeCell ref="A135:B135"/>
    <mergeCell ref="A136:F136"/>
    <mergeCell ref="A137:A138"/>
    <mergeCell ref="B137:B138"/>
    <mergeCell ref="A141:B141"/>
    <mergeCell ref="A142:F142"/>
    <mergeCell ref="A143:A144"/>
    <mergeCell ref="B143:B144"/>
    <mergeCell ref="A147:B147"/>
    <mergeCell ref="C149:F149"/>
    <mergeCell ref="A158:B158"/>
    <mergeCell ref="A2:F2"/>
    <mergeCell ref="A3:F3"/>
    <mergeCell ref="A5:F5"/>
    <mergeCell ref="A7:F7"/>
    <mergeCell ref="A8:A9"/>
    <mergeCell ref="B8:B9"/>
    <mergeCell ref="A17:A18"/>
    <mergeCell ref="A35:B35"/>
    <mergeCell ref="A36:F36"/>
    <mergeCell ref="A37:A38"/>
    <mergeCell ref="B37:B38"/>
    <mergeCell ref="A41:B41"/>
    <mergeCell ref="A42:F42"/>
    <mergeCell ref="A43:A44"/>
    <mergeCell ref="B43:B44"/>
    <mergeCell ref="A88:B88"/>
    <mergeCell ref="A89:F89"/>
    <mergeCell ref="A90:A91"/>
    <mergeCell ref="B90:B91"/>
    <mergeCell ref="A94:B94"/>
    <mergeCell ref="B106:B107"/>
    <mergeCell ref="A100:F100"/>
    <mergeCell ref="A101:A102"/>
    <mergeCell ref="B101:B102"/>
    <mergeCell ref="F101:F102"/>
    <mergeCell ref="A104:B104"/>
    <mergeCell ref="C101:E101"/>
    <mergeCell ref="C106:F106"/>
    <mergeCell ref="A152:B152"/>
    <mergeCell ref="A153:F153"/>
    <mergeCell ref="A154:A155"/>
    <mergeCell ref="B154:B155"/>
    <mergeCell ref="A110:B110"/>
    <mergeCell ref="A121:F121"/>
    <mergeCell ref="A122:A123"/>
    <mergeCell ref="B122:B123"/>
    <mergeCell ref="A116:F116"/>
    <mergeCell ref="A117:A118"/>
    <mergeCell ref="B117:B118"/>
    <mergeCell ref="A120:B120"/>
    <mergeCell ref="A111:F111"/>
    <mergeCell ref="A112:A113"/>
    <mergeCell ref="B112:B113"/>
    <mergeCell ref="A115:B115"/>
    <mergeCell ref="A175:B175"/>
    <mergeCell ref="A173:B173"/>
    <mergeCell ref="A160:A161"/>
    <mergeCell ref="B160:B161"/>
    <mergeCell ref="A159:F159"/>
    <mergeCell ref="C160:F160"/>
    <mergeCell ref="A126:F126"/>
    <mergeCell ref="A127:A128"/>
    <mergeCell ref="B127:B128"/>
    <mergeCell ref="C127:F127"/>
    <mergeCell ref="A130:B130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73" firstPageNumber="0" orientation="portrait" r:id="rId1"/>
  <headerFooter>
    <oddHeader>&amp;R2020.01.hó</oddHeader>
  </headerFooter>
  <rowBreaks count="3" manualBreakCount="3">
    <brk id="41" max="16383" man="1"/>
    <brk id="94" max="5" man="1"/>
    <brk id="152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  <pageSetUpPr fitToPage="1"/>
  </sheetPr>
  <dimension ref="A1:K83"/>
  <sheetViews>
    <sheetView showGridLines="0" topLeftCell="A54" zoomScaleNormal="100" workbookViewId="0">
      <selection activeCell="J75" sqref="J75"/>
    </sheetView>
  </sheetViews>
  <sheetFormatPr defaultRowHeight="12.75"/>
  <cols>
    <col min="1" max="1" width="11.85546875" customWidth="1"/>
    <col min="2" max="2" width="40.42578125" customWidth="1"/>
    <col min="3" max="3" width="15.5703125" bestFit="1" customWidth="1"/>
    <col min="4" max="4" width="10.7109375" bestFit="1" customWidth="1"/>
    <col min="5" max="5" width="4.7109375" customWidth="1"/>
    <col min="6" max="6" width="17.140625" customWidth="1"/>
    <col min="7" max="7" width="18.85546875" customWidth="1"/>
    <col min="8" max="10" width="8.42578125" customWidth="1"/>
    <col min="11" max="11" width="8.7109375" customWidth="1"/>
    <col min="12" max="1024" width="8.42578125" customWidth="1"/>
  </cols>
  <sheetData>
    <row r="1" spans="1:7" ht="19.5" customHeight="1">
      <c r="F1" s="285" t="s">
        <v>140</v>
      </c>
    </row>
    <row r="2" spans="1:7" ht="15.75">
      <c r="A2" s="810" t="s">
        <v>723</v>
      </c>
      <c r="B2" s="810"/>
      <c r="C2" s="810"/>
      <c r="D2" s="810"/>
      <c r="E2" s="810"/>
      <c r="F2" s="810"/>
    </row>
    <row r="3" spans="1:7" ht="15.75">
      <c r="A3" s="810" t="s">
        <v>389</v>
      </c>
      <c r="B3" s="810"/>
      <c r="C3" s="810"/>
      <c r="D3" s="810"/>
      <c r="E3" s="810"/>
      <c r="F3" s="810"/>
    </row>
    <row r="4" spans="1:7" ht="14.25" customHeight="1" thickBot="1">
      <c r="A4" s="120"/>
      <c r="B4" s="120"/>
      <c r="C4" s="120"/>
      <c r="D4" s="120"/>
      <c r="E4" s="120"/>
      <c r="F4" s="50" t="s">
        <v>45</v>
      </c>
    </row>
    <row r="5" spans="1:7" ht="20.25" customHeight="1" thickBot="1">
      <c r="A5" s="848" t="s">
        <v>3</v>
      </c>
      <c r="B5" s="848"/>
      <c r="C5" s="848"/>
      <c r="D5" s="848"/>
      <c r="E5" s="848"/>
      <c r="F5" s="848"/>
    </row>
    <row r="6" spans="1:7" ht="15.75" customHeight="1" thickBot="1">
      <c r="A6" s="820" t="s">
        <v>46</v>
      </c>
      <c r="B6" s="849" t="s">
        <v>47</v>
      </c>
      <c r="C6" s="850">
        <v>2023</v>
      </c>
      <c r="D6" s="850"/>
      <c r="E6" s="850"/>
      <c r="F6" s="851"/>
    </row>
    <row r="7" spans="1:7" ht="21.75" customHeight="1" thickBot="1">
      <c r="A7" s="820"/>
      <c r="B7" s="849"/>
      <c r="C7" s="771" t="s">
        <v>48</v>
      </c>
      <c r="D7" s="744" t="s">
        <v>508</v>
      </c>
      <c r="E7" s="51" t="s">
        <v>383</v>
      </c>
      <c r="F7" s="745" t="s">
        <v>742</v>
      </c>
      <c r="G7" s="121"/>
    </row>
    <row r="8" spans="1:7" ht="20.100000000000001" customHeight="1">
      <c r="A8" s="53" t="s">
        <v>141</v>
      </c>
      <c r="B8" s="780" t="s">
        <v>142</v>
      </c>
      <c r="C8" s="559">
        <f>'Kiadások COFOG szerint'!C199+'Kiadások COFOG szerint'!C254+'Kiadások COFOG szerint'!C300+'Kiadások COFOG szerint'!C10+'Kiadások COFOG szerint'!C114+'Kiadások COFOG szerint'!C124+'Kiadások COFOG szerint'!C171</f>
        <v>18864350</v>
      </c>
      <c r="D8" s="607">
        <f t="shared" ref="D8:D18" si="0">F8-C8</f>
        <v>2203250</v>
      </c>
      <c r="E8" s="587">
        <f t="shared" ref="E8:E12" si="1">F8/C8*100</f>
        <v>111.67943766946648</v>
      </c>
      <c r="F8" s="548">
        <f>'Kiadások COFOG szerint'!F199+'Kiadások COFOG szerint'!F254+'Kiadások COFOG szerint'!F300+'Kiadások COFOG szerint'!F152+'Kiadások COFOG szerint'!F10+'Kiadások COFOG szerint'!F114+'Kiadások COFOG szerint'!F124+'Kiadások COFOG szerint'!F171</f>
        <v>21067600</v>
      </c>
      <c r="G8" s="122"/>
    </row>
    <row r="9" spans="1:7" ht="20.100000000000001" customHeight="1">
      <c r="A9" s="57" t="s">
        <v>692</v>
      </c>
      <c r="B9" s="781" t="s">
        <v>697</v>
      </c>
      <c r="C9" s="552">
        <f>SUM('Kiadások COFOG szerint'!C172+'Kiadások COFOG szerint'!C200)</f>
        <v>400000</v>
      </c>
      <c r="D9" s="290">
        <f t="shared" si="0"/>
        <v>0</v>
      </c>
      <c r="E9" s="587">
        <v>0</v>
      </c>
      <c r="F9" s="547">
        <f>SUM('Kiadások COFOG szerint'!F172+'Kiadások COFOG szerint'!F200)</f>
        <v>400000</v>
      </c>
      <c r="G9" s="123"/>
    </row>
    <row r="10" spans="1:7" ht="20.100000000000001" customHeight="1">
      <c r="A10" s="57" t="s">
        <v>421</v>
      </c>
      <c r="B10" s="781" t="s">
        <v>422</v>
      </c>
      <c r="C10" s="552">
        <f>'Kiadások COFOG szerint'!C201</f>
        <v>100000</v>
      </c>
      <c r="D10" s="290">
        <f t="shared" si="0"/>
        <v>0</v>
      </c>
      <c r="E10" s="587">
        <f t="shared" si="1"/>
        <v>100</v>
      </c>
      <c r="F10" s="547">
        <f>'Kiadások COFOG szerint'!F201</f>
        <v>100000</v>
      </c>
      <c r="G10" s="123"/>
    </row>
    <row r="11" spans="1:7" ht="20.100000000000001" customHeight="1">
      <c r="A11" s="57" t="s">
        <v>534</v>
      </c>
      <c r="B11" s="781" t="s">
        <v>535</v>
      </c>
      <c r="C11" s="552">
        <f>'Kiadások COFOG szerint'!C202</f>
        <v>0</v>
      </c>
      <c r="D11" s="290">
        <f t="shared" si="0"/>
        <v>0</v>
      </c>
      <c r="E11" s="587">
        <v>0</v>
      </c>
      <c r="F11" s="547">
        <f>'Kiadások COFOG szerint'!F202</f>
        <v>0</v>
      </c>
      <c r="G11" s="123"/>
    </row>
    <row r="12" spans="1:7" ht="20.100000000000001" customHeight="1">
      <c r="A12" s="57" t="s">
        <v>423</v>
      </c>
      <c r="B12" s="781" t="s">
        <v>482</v>
      </c>
      <c r="C12" s="552">
        <f>'Kiadások COFOG szerint'!C203+'Kiadások COFOG szerint'!C255+'Kiadások COFOG szerint'!C173+'Kiadások COFOG szerint'!C301</f>
        <v>350000</v>
      </c>
      <c r="D12" s="290">
        <f t="shared" si="0"/>
        <v>0</v>
      </c>
      <c r="E12" s="587">
        <f t="shared" si="1"/>
        <v>100</v>
      </c>
      <c r="F12" s="547">
        <f>'Kiadások COFOG szerint'!F203+'Kiadások COFOG szerint'!F255+'Kiadások COFOG szerint'!F301+'Kiadások COFOG szerint'!F173</f>
        <v>350000</v>
      </c>
      <c r="G12" s="122"/>
    </row>
    <row r="13" spans="1:7" ht="20.100000000000001" customHeight="1">
      <c r="A13" s="57" t="s">
        <v>145</v>
      </c>
      <c r="B13" s="781" t="s">
        <v>146</v>
      </c>
      <c r="C13" s="552">
        <f>'Kiadások COFOG szerint'!C204</f>
        <v>0</v>
      </c>
      <c r="D13" s="290">
        <f t="shared" si="0"/>
        <v>0</v>
      </c>
      <c r="E13" s="587">
        <v>0</v>
      </c>
      <c r="F13" s="547">
        <f>'Kiadások COFOG szerint'!F204</f>
        <v>0</v>
      </c>
      <c r="G13" s="122"/>
    </row>
    <row r="14" spans="1:7" ht="20.100000000000001" customHeight="1">
      <c r="A14" s="57" t="s">
        <v>147</v>
      </c>
      <c r="B14" s="781" t="s">
        <v>148</v>
      </c>
      <c r="C14" s="552">
        <f>'Kiadások COFOG szerint'!C174+'Kiadások COFOG szerint'!C205+'Kiadások COFOG szerint'!C256+'Kiadások COFOG szerint'!C302</f>
        <v>0</v>
      </c>
      <c r="D14" s="290">
        <f t="shared" si="0"/>
        <v>0</v>
      </c>
      <c r="E14" s="587">
        <v>0</v>
      </c>
      <c r="F14" s="547">
        <f>'Kiadások COFOG szerint'!F174+'Kiadások COFOG szerint'!F205+'Kiadások COFOG szerint'!F256+'Kiadások COFOG szerint'!F302</f>
        <v>0</v>
      </c>
      <c r="G14" s="122"/>
    </row>
    <row r="15" spans="1:7" ht="20.100000000000001" customHeight="1">
      <c r="A15" s="57" t="s">
        <v>149</v>
      </c>
      <c r="B15" s="781" t="s">
        <v>150</v>
      </c>
      <c r="C15" s="552">
        <f>'Kiadások COFOG szerint'!C257+'Kiadások COFOG szerint'!C125+'Kiadások COFOG szerint'!C175+'Kiadások COFOG szerint'!C206</f>
        <v>420000</v>
      </c>
      <c r="D15" s="290">
        <f t="shared" si="0"/>
        <v>0</v>
      </c>
      <c r="E15" s="587">
        <f t="shared" ref="E15:E20" si="2">F15/C15*100</f>
        <v>100</v>
      </c>
      <c r="F15" s="547">
        <f>'Kiadások COFOG szerint'!F125+'Kiadások COFOG szerint'!F175+'Kiadások COFOG szerint'!F206+'Kiadások COFOG szerint'!F257</f>
        <v>420000</v>
      </c>
      <c r="G15" s="123"/>
    </row>
    <row r="16" spans="1:7" ht="20.100000000000001" customHeight="1">
      <c r="A16" s="57" t="s">
        <v>151</v>
      </c>
      <c r="B16" s="781" t="s">
        <v>152</v>
      </c>
      <c r="C16" s="552">
        <f>'Kiadások COFOG szerint'!C14</f>
        <v>21310000</v>
      </c>
      <c r="D16" s="290">
        <f t="shared" si="0"/>
        <v>0</v>
      </c>
      <c r="E16" s="587">
        <f t="shared" si="2"/>
        <v>100</v>
      </c>
      <c r="F16" s="547">
        <f>'Kiadások COFOG szerint'!F14</f>
        <v>21310000</v>
      </c>
      <c r="G16" s="122"/>
    </row>
    <row r="17" spans="1:7" ht="27" customHeight="1">
      <c r="A17" s="57" t="s">
        <v>153</v>
      </c>
      <c r="B17" s="781" t="s">
        <v>154</v>
      </c>
      <c r="C17" s="552">
        <f>'Kiadások COFOG szerint'!C15+'Kiadások COFOG szerint'!C207+'Kiadások COFOG szerint'!C237+'Kiadások COFOG szerint'!C303</f>
        <v>4960000</v>
      </c>
      <c r="D17" s="290">
        <f t="shared" si="0"/>
        <v>3067500</v>
      </c>
      <c r="E17" s="587">
        <f t="shared" si="2"/>
        <v>161.84475806451613</v>
      </c>
      <c r="F17" s="547">
        <f>'Kiadások COFOG szerint'!F15+'Kiadások COFOG szerint'!F207+'Kiadások COFOG szerint'!F237+'Kiadások COFOG szerint'!F303+'Kiadások COFOG szerint'!F176+'Kiadások COFOG szerint'!F258</f>
        <v>8027500</v>
      </c>
      <c r="G17" s="122"/>
    </row>
    <row r="18" spans="1:7" ht="20.100000000000001" customHeight="1" thickBot="1">
      <c r="A18" s="61" t="s">
        <v>155</v>
      </c>
      <c r="B18" s="782" t="s">
        <v>156</v>
      </c>
      <c r="C18" s="772">
        <f>'Kiadások COFOG szerint'!C16+'Kiadások COFOG szerint'!C90</f>
        <v>550000</v>
      </c>
      <c r="D18" s="475">
        <f t="shared" si="0"/>
        <v>750000</v>
      </c>
      <c r="E18" s="587">
        <f t="shared" si="2"/>
        <v>236.36363636363637</v>
      </c>
      <c r="F18" s="549">
        <f>'Kiadások COFOG szerint'!F16+'Kiadások COFOG szerint'!F90</f>
        <v>1300000</v>
      </c>
      <c r="G18" s="122"/>
    </row>
    <row r="19" spans="1:7" ht="24.95" customHeight="1" thickBot="1">
      <c r="A19" s="842" t="s">
        <v>9</v>
      </c>
      <c r="B19" s="843"/>
      <c r="C19" s="414">
        <f>SUM(C8:C18)</f>
        <v>46954350</v>
      </c>
      <c r="D19" s="124">
        <f>SUM(D8:D18)</f>
        <v>6020750</v>
      </c>
      <c r="E19" s="734">
        <f t="shared" si="2"/>
        <v>112.822560636022</v>
      </c>
      <c r="F19" s="126">
        <f>SUM(F8:F18)</f>
        <v>52975100</v>
      </c>
      <c r="G19" s="123"/>
    </row>
    <row r="20" spans="1:7" ht="20.100000000000001" customHeight="1" thickBot="1">
      <c r="A20" s="53" t="s">
        <v>157</v>
      </c>
      <c r="B20" s="780" t="s">
        <v>158</v>
      </c>
      <c r="C20" s="554">
        <f>'Kiadások COFOG szerint'!C18+'Kiadások COFOG szerint'!C115+'Kiadások COFOG szerint'!C126+'Kiadások COFOG szerint'!C177+'Kiadások COFOG szerint'!C208+'Kiadások COFOG szerint'!C238+'Kiadások COFOG szerint'!C259+'Kiadások COFOG szerint'!C304+'Kiadások COFOG szerint'!C91</f>
        <v>6565000</v>
      </c>
      <c r="D20" s="289">
        <f>F20-C20</f>
        <v>535600</v>
      </c>
      <c r="E20" s="588">
        <f t="shared" si="2"/>
        <v>108.15841584158417</v>
      </c>
      <c r="F20" s="548">
        <f>SUM('Kiadások COFOG szerint'!F18+'Kiadások COFOG szerint'!F91+'Kiadások COFOG szerint'!F115+'Kiadások COFOG szerint'!F153+'Kiadások COFOG szerint'!F177+'Kiadások COFOG szerint'!F208+'Kiadások COFOG szerint'!F259+'Kiadások COFOG szerint'!F304)</f>
        <v>7100600</v>
      </c>
      <c r="G20" s="122"/>
    </row>
    <row r="21" spans="1:7" ht="24.95" customHeight="1" thickBot="1">
      <c r="A21" s="842" t="s">
        <v>13</v>
      </c>
      <c r="B21" s="843"/>
      <c r="C21" s="414">
        <f>SUM(C20:C20)</f>
        <v>6565000</v>
      </c>
      <c r="D21" s="124">
        <f>SUM(D20:D20)</f>
        <v>535600</v>
      </c>
      <c r="E21" s="734">
        <f t="shared" ref="E21:E38" si="3">F21/C21*100</f>
        <v>108.15841584158417</v>
      </c>
      <c r="F21" s="125">
        <f>SUM(F20:F20)</f>
        <v>7100600</v>
      </c>
      <c r="G21" s="123"/>
    </row>
    <row r="22" spans="1:7" ht="20.100000000000001" customHeight="1">
      <c r="A22" s="53" t="s">
        <v>161</v>
      </c>
      <c r="B22" s="780" t="s">
        <v>162</v>
      </c>
      <c r="C22" s="554">
        <f>'Kiadások COFOG szerint'!C20+'Kiadások COFOG szerint'!C209</f>
        <v>230000</v>
      </c>
      <c r="D22" s="289">
        <f t="shared" ref="D22:D49" si="4">F22-C22</f>
        <v>0</v>
      </c>
      <c r="E22" s="731">
        <f t="shared" si="3"/>
        <v>100</v>
      </c>
      <c r="F22" s="548">
        <f>'Kiadások COFOG szerint'!F20+'Kiadások COFOG szerint'!F209</f>
        <v>230000</v>
      </c>
      <c r="G22" s="122"/>
    </row>
    <row r="23" spans="1:7" ht="20.100000000000001" hidden="1" customHeight="1">
      <c r="A23" s="57" t="s">
        <v>163</v>
      </c>
      <c r="B23" s="781" t="s">
        <v>164</v>
      </c>
      <c r="C23" s="773"/>
      <c r="D23" s="291">
        <f t="shared" si="4"/>
        <v>0</v>
      </c>
      <c r="E23" s="731" t="e">
        <f t="shared" si="3"/>
        <v>#DIV/0!</v>
      </c>
      <c r="F23" s="547"/>
      <c r="G23" s="123"/>
    </row>
    <row r="24" spans="1:7" ht="20.100000000000001" hidden="1" customHeight="1">
      <c r="A24" s="57" t="s">
        <v>165</v>
      </c>
      <c r="B24" s="781" t="s">
        <v>166</v>
      </c>
      <c r="C24" s="773"/>
      <c r="D24" s="291">
        <f t="shared" si="4"/>
        <v>0</v>
      </c>
      <c r="E24" s="731" t="e">
        <f t="shared" si="3"/>
        <v>#DIV/0!</v>
      </c>
      <c r="F24" s="547"/>
      <c r="G24" s="123"/>
    </row>
    <row r="25" spans="1:7" ht="20.100000000000001" hidden="1" customHeight="1">
      <c r="A25" s="57" t="s">
        <v>167</v>
      </c>
      <c r="B25" s="781" t="s">
        <v>168</v>
      </c>
      <c r="C25" s="773"/>
      <c r="D25" s="291">
        <f t="shared" si="4"/>
        <v>0</v>
      </c>
      <c r="E25" s="731" t="e">
        <f t="shared" si="3"/>
        <v>#DIV/0!</v>
      </c>
      <c r="F25" s="547"/>
      <c r="G25" s="123"/>
    </row>
    <row r="26" spans="1:7" ht="20.100000000000001" customHeight="1">
      <c r="A26" s="57" t="s">
        <v>169</v>
      </c>
      <c r="B26" s="781" t="s">
        <v>170</v>
      </c>
      <c r="C26" s="552">
        <f>SUM('Kiadások COFOG szerint'!C21+'Kiadások COFOG szerint'!C60+'Kiadások COFOG szerint'!C75+'Kiadások COFOG szerint'!C92+'Kiadások COFOG szerint'!C116+'Kiadások COFOG szerint'!C127+'Kiadások COFOG szerint'!C133+'Kiadások COFOG szerint'!C163+'Kiadások COFOG szerint'!C179+'Kiadások COFOG szerint'!C210+'Kiadások COFOG szerint'!C240+'Kiadások COFOG szerint'!C260+'Kiadások COFOG szerint'!C311)</f>
        <v>8926000</v>
      </c>
      <c r="D26" s="291">
        <f t="shared" si="4"/>
        <v>2515686</v>
      </c>
      <c r="E26" s="731">
        <f t="shared" si="3"/>
        <v>128.18380013443871</v>
      </c>
      <c r="F26" s="547">
        <f>SUM('Kiadások COFOG szerint'!F21+'Kiadások COFOG szerint'!F60+'Kiadások COFOG szerint'!F75+'Kiadások COFOG szerint'!F92+'Kiadások COFOG szerint'!F116+'Kiadások COFOG szerint'!F127+'Kiadások COFOG szerint'!F133+'Kiadások COFOG szerint'!F163+'Kiadások COFOG szerint'!F179+'Kiadások COFOG szerint'!F210+'Kiadások COFOG szerint'!F240+'Kiadások COFOG szerint'!F260+'Kiadások COFOG szerint'!F311+'Kiadások COFOG szerint'!F154)</f>
        <v>11441686</v>
      </c>
      <c r="G26" s="123"/>
    </row>
    <row r="27" spans="1:7" ht="20.100000000000001" hidden="1" customHeight="1">
      <c r="A27" s="57" t="s">
        <v>171</v>
      </c>
      <c r="B27" s="783" t="s">
        <v>172</v>
      </c>
      <c r="C27" s="774"/>
      <c r="D27" s="291">
        <f t="shared" si="4"/>
        <v>0</v>
      </c>
      <c r="E27" s="731" t="e">
        <f t="shared" si="3"/>
        <v>#DIV/0!</v>
      </c>
      <c r="F27" s="547"/>
      <c r="G27" s="123"/>
    </row>
    <row r="28" spans="1:7" ht="20.100000000000001" hidden="1" customHeight="1">
      <c r="A28" s="57" t="s">
        <v>173</v>
      </c>
      <c r="B28" s="783" t="s">
        <v>174</v>
      </c>
      <c r="C28" s="774"/>
      <c r="D28" s="291">
        <f t="shared" si="4"/>
        <v>0</v>
      </c>
      <c r="E28" s="731" t="e">
        <f t="shared" si="3"/>
        <v>#DIV/0!</v>
      </c>
      <c r="F28" s="547"/>
      <c r="G28" s="123"/>
    </row>
    <row r="29" spans="1:7" ht="20.100000000000001" hidden="1" customHeight="1">
      <c r="A29" s="57" t="s">
        <v>175</v>
      </c>
      <c r="B29" s="783" t="s">
        <v>176</v>
      </c>
      <c r="C29" s="774"/>
      <c r="D29" s="291">
        <f t="shared" si="4"/>
        <v>0</v>
      </c>
      <c r="E29" s="731" t="e">
        <f t="shared" si="3"/>
        <v>#DIV/0!</v>
      </c>
      <c r="F29" s="547"/>
      <c r="G29" s="123"/>
    </row>
    <row r="30" spans="1:7" ht="20.100000000000001" hidden="1" customHeight="1">
      <c r="A30" s="57" t="s">
        <v>177</v>
      </c>
      <c r="B30" s="783" t="s">
        <v>178</v>
      </c>
      <c r="C30" s="774"/>
      <c r="D30" s="291">
        <f t="shared" si="4"/>
        <v>0</v>
      </c>
      <c r="E30" s="731" t="e">
        <f t="shared" si="3"/>
        <v>#DIV/0!</v>
      </c>
      <c r="F30" s="547"/>
      <c r="G30" s="123"/>
    </row>
    <row r="31" spans="1:7" ht="20.100000000000001" hidden="1" customHeight="1">
      <c r="A31" s="57" t="s">
        <v>179</v>
      </c>
      <c r="B31" s="783" t="s">
        <v>180</v>
      </c>
      <c r="C31" s="774"/>
      <c r="D31" s="291">
        <f t="shared" si="4"/>
        <v>0</v>
      </c>
      <c r="E31" s="731" t="e">
        <f t="shared" si="3"/>
        <v>#DIV/0!</v>
      </c>
      <c r="F31" s="547"/>
      <c r="G31" s="123"/>
    </row>
    <row r="32" spans="1:7" ht="19.5" hidden="1" customHeight="1">
      <c r="A32" s="57" t="s">
        <v>181</v>
      </c>
      <c r="B32" s="783" t="s">
        <v>182</v>
      </c>
      <c r="C32" s="774"/>
      <c r="D32" s="291">
        <f t="shared" si="4"/>
        <v>0</v>
      </c>
      <c r="E32" s="731" t="e">
        <f t="shared" si="3"/>
        <v>#DIV/0!</v>
      </c>
      <c r="F32" s="547"/>
      <c r="G32" s="123"/>
    </row>
    <row r="33" spans="1:7" ht="20.100000000000001" customHeight="1">
      <c r="A33" s="57" t="s">
        <v>183</v>
      </c>
      <c r="B33" s="781" t="s">
        <v>320</v>
      </c>
      <c r="C33" s="552">
        <f>'Kiadások COFOG szerint'!C22+'Kiadások COFOG szerint'!C211+'Kiadások COFOG szerint'!C180</f>
        <v>2247600</v>
      </c>
      <c r="D33" s="291">
        <f t="shared" si="4"/>
        <v>0</v>
      </c>
      <c r="E33" s="731">
        <f t="shared" si="3"/>
        <v>100</v>
      </c>
      <c r="F33" s="547">
        <f>'Kiadások COFOG szerint'!F22+'Kiadások COFOG szerint'!F211+'Kiadások COFOG szerint'!F180</f>
        <v>2247600</v>
      </c>
      <c r="G33" s="123"/>
    </row>
    <row r="34" spans="1:7" ht="20.100000000000001" customHeight="1">
      <c r="A34" s="57" t="s">
        <v>184</v>
      </c>
      <c r="B34" s="781" t="s">
        <v>185</v>
      </c>
      <c r="C34" s="552">
        <f>'Kiadások COFOG szerint'!C23+'Kiadások COFOG szerint'!C212</f>
        <v>354000</v>
      </c>
      <c r="D34" s="291">
        <f t="shared" si="4"/>
        <v>0</v>
      </c>
      <c r="E34" s="731">
        <f t="shared" si="3"/>
        <v>100</v>
      </c>
      <c r="F34" s="547">
        <f>'Kiadások COFOG szerint'!F23+'Kiadások COFOG szerint'!F212</f>
        <v>354000</v>
      </c>
      <c r="G34" s="123"/>
    </row>
    <row r="35" spans="1:7" ht="20.100000000000001" customHeight="1">
      <c r="A35" s="57" t="s">
        <v>186</v>
      </c>
      <c r="B35" s="781" t="s">
        <v>187</v>
      </c>
      <c r="C35" s="552">
        <f>SUM('Kiadások COFOG szerint'!C24+'Kiadások COFOG szerint'!C61+'Kiadások COFOG szerint'!C62+'Kiadások COFOG szerint'!C76+'Kiadások COFOG szerint'!C144+'Kiadások COFOG szerint'!C164+'Kiadások COFOG szerint'!C181+'Kiadások COFOG szerint'!C261)</f>
        <v>10894000</v>
      </c>
      <c r="D35" s="290">
        <f>SUM('Kiadások COFOG szerint'!D24+'Kiadások COFOG szerint'!D61+'Kiadások COFOG szerint'!D62+'Kiadások COFOG szerint'!D76+'Kiadások COFOG szerint'!D144+'Kiadások COFOG szerint'!D164+'Kiadások COFOG szerint'!D181+'Kiadások COFOG szerint'!D261)</f>
        <v>0</v>
      </c>
      <c r="E35" s="731">
        <f t="shared" si="3"/>
        <v>100</v>
      </c>
      <c r="F35" s="547">
        <f>SUM('Kiadások COFOG szerint'!F24+'Kiadások COFOG szerint'!F61+'Kiadások COFOG szerint'!F62+'Kiadások COFOG szerint'!F76+'Kiadások COFOG szerint'!F144+'Kiadások COFOG szerint'!F164+'Kiadások COFOG szerint'!F181+'Kiadások COFOG szerint'!F261)</f>
        <v>10894000</v>
      </c>
      <c r="G35" s="123"/>
    </row>
    <row r="36" spans="1:7" ht="20.100000000000001" customHeight="1">
      <c r="A36" s="57" t="s">
        <v>188</v>
      </c>
      <c r="B36" s="783" t="s">
        <v>189</v>
      </c>
      <c r="C36" s="564">
        <f>'Kiadások COFOG szerint'!C25+'Kiadások COFOG szerint'!C77+'Kiadások COFOG szerint'!C164+'Kiadások COFOG szerint'!C261</f>
        <v>6240000</v>
      </c>
      <c r="D36" s="59">
        <f>'Kiadások COFOG szerint'!D25+'Kiadások COFOG szerint'!D77+'Kiadások COFOG szerint'!D164+'Kiadások COFOG szerint'!D261</f>
        <v>0</v>
      </c>
      <c r="E36" s="731">
        <f t="shared" si="3"/>
        <v>100</v>
      </c>
      <c r="F36" s="60">
        <f>'Kiadások COFOG szerint'!F25+'Kiadások COFOG szerint'!F77+'Kiadások COFOG szerint'!F164+'Kiadások COFOG szerint'!F261</f>
        <v>6240000</v>
      </c>
      <c r="G36" s="123"/>
    </row>
    <row r="37" spans="1:7" ht="20.100000000000001" customHeight="1">
      <c r="A37" s="57" t="s">
        <v>190</v>
      </c>
      <c r="B37" s="783" t="s">
        <v>191</v>
      </c>
      <c r="C37" s="564">
        <f>'Kiadások COFOG szerint'!C26+'Kiadások COFOG szerint'!C78+'Kiadások COFOG szerint'!C181</f>
        <v>4390000</v>
      </c>
      <c r="D37" s="59">
        <f>'Kiadások COFOG szerint'!D26+'Kiadások COFOG szerint'!D78+'Kiadások COFOG szerint'!D181</f>
        <v>0</v>
      </c>
      <c r="E37" s="731">
        <f t="shared" si="3"/>
        <v>100</v>
      </c>
      <c r="F37" s="60">
        <f>'Kiadások COFOG szerint'!F26+'Kiadások COFOG szerint'!F78+'Kiadások COFOG szerint'!F181</f>
        <v>4390000</v>
      </c>
      <c r="G37" s="123"/>
    </row>
    <row r="38" spans="1:7" ht="20.100000000000001" customHeight="1">
      <c r="A38" s="57" t="s">
        <v>192</v>
      </c>
      <c r="B38" s="783" t="s">
        <v>193</v>
      </c>
      <c r="C38" s="564">
        <f>'Kiadások COFOG szerint'!C79+'Kiadások COFOG szerint'!C27</f>
        <v>264000</v>
      </c>
      <c r="D38" s="59">
        <f>'Kiadások COFOG szerint'!D79+'Kiadások COFOG szerint'!D27</f>
        <v>0</v>
      </c>
      <c r="E38" s="731">
        <f t="shared" si="3"/>
        <v>100</v>
      </c>
      <c r="F38" s="60">
        <f>'Kiadások COFOG szerint'!F79+'Kiadások COFOG szerint'!F27</f>
        <v>264000</v>
      </c>
      <c r="G38" s="123"/>
    </row>
    <row r="39" spans="1:7" ht="20.100000000000001" customHeight="1">
      <c r="A39" s="57" t="s">
        <v>194</v>
      </c>
      <c r="B39" s="781" t="s">
        <v>195</v>
      </c>
      <c r="C39" s="552">
        <f>'Kiadások COFOG szerint'!C262+'Kiadások COFOG szerint'!C283+'Kiadások COFOG szerint'!C289</f>
        <v>19800000</v>
      </c>
      <c r="D39" s="291">
        <f t="shared" si="4"/>
        <v>0</v>
      </c>
      <c r="E39" s="731">
        <f t="shared" ref="E39:E49" si="5">F39/C39*100</f>
        <v>100</v>
      </c>
      <c r="F39" s="547">
        <f>'Kiadások COFOG szerint'!F262+'Kiadások COFOG szerint'!F283+'Kiadások COFOG szerint'!F289</f>
        <v>19800000</v>
      </c>
      <c r="G39" s="123"/>
    </row>
    <row r="40" spans="1:7" ht="20.100000000000001" customHeight="1">
      <c r="A40" s="57" t="s">
        <v>196</v>
      </c>
      <c r="B40" s="781" t="s">
        <v>197</v>
      </c>
      <c r="C40" s="552">
        <f>'Kiadások COFOG szerint'!C28</f>
        <v>150000</v>
      </c>
      <c r="D40" s="291">
        <f t="shared" si="4"/>
        <v>490000</v>
      </c>
      <c r="E40" s="731">
        <f t="shared" si="5"/>
        <v>426.66666666666669</v>
      </c>
      <c r="F40" s="547">
        <f>'Kiadások COFOG szerint'!F28+'Kiadások COFOG szerint'!F94</f>
        <v>640000</v>
      </c>
      <c r="G40" s="123"/>
    </row>
    <row r="41" spans="1:7" ht="20.100000000000001" customHeight="1">
      <c r="A41" s="57" t="s">
        <v>198</v>
      </c>
      <c r="B41" s="781" t="s">
        <v>199</v>
      </c>
      <c r="C41" s="552">
        <f>SUM('Kiadások COFOG szerint'!C29+'Kiadások COFOG szerint'!C63+'Kiadások COFOG szerint'!C80+'Kiadások COFOG szerint'!C145+'Kiadások COFOG szerint'!C165+'Kiadások COFOG szerint'!C183+'Kiadások COFOG szerint'!C213+'Kiadások COFOG szerint'!C134+'Kiadások COFOG szerint'!C263)</f>
        <v>5890000</v>
      </c>
      <c r="D41" s="291">
        <f t="shared" si="4"/>
        <v>0</v>
      </c>
      <c r="E41" s="731">
        <f t="shared" si="5"/>
        <v>100</v>
      </c>
      <c r="F41" s="547">
        <f>SUM('Kiadások COFOG szerint'!F29+'Kiadások COFOG szerint'!F63+'Kiadások COFOG szerint'!F80+'Kiadások COFOG szerint'!F145+'Kiadások COFOG szerint'!F165+'Kiadások COFOG szerint'!F183+'Kiadások COFOG szerint'!F213+'Kiadások COFOG szerint'!F134+'Kiadások COFOG szerint'!F263)</f>
        <v>5890000</v>
      </c>
      <c r="G41" s="123"/>
    </row>
    <row r="42" spans="1:7" ht="20.100000000000001" customHeight="1">
      <c r="A42" s="57" t="s">
        <v>483</v>
      </c>
      <c r="B42" s="781" t="s">
        <v>484</v>
      </c>
      <c r="C42" s="552">
        <f>'Kiadások COFOG szerint'!C30</f>
        <v>3000000</v>
      </c>
      <c r="D42" s="291">
        <f t="shared" si="4"/>
        <v>0</v>
      </c>
      <c r="E42" s="731">
        <f t="shared" si="5"/>
        <v>100</v>
      </c>
      <c r="F42" s="547">
        <f>'Kiadások COFOG szerint'!F30</f>
        <v>3000000</v>
      </c>
      <c r="G42" s="123"/>
    </row>
    <row r="43" spans="1:7" ht="20.100000000000001" customHeight="1">
      <c r="A43" s="57" t="s">
        <v>200</v>
      </c>
      <c r="B43" s="781" t="s">
        <v>201</v>
      </c>
      <c r="C43" s="552">
        <f>'Kiadások COFOG szerint'!C31+'Kiadások COFOG szerint'!C214+'Kiadások COFOG szerint'!C226+'Kiadások COFOG szerint'!C264+'Kiadások COFOG szerint'!C305+'Kiadások COFOG szerint'!C184</f>
        <v>3438400</v>
      </c>
      <c r="D43" s="732">
        <f>'Kiadások COFOG szerint'!D31+'Kiadások COFOG szerint'!D214+'Kiadások COFOG szerint'!D226+'Kiadások COFOG szerint'!D264+'Kiadások COFOG szerint'!D305+'Kiadások COFOG szerint'!D184</f>
        <v>0</v>
      </c>
      <c r="E43" s="731">
        <f t="shared" si="5"/>
        <v>100</v>
      </c>
      <c r="F43" s="547">
        <f>'Kiadások COFOG szerint'!F31+'Kiadások COFOG szerint'!F214+'Kiadások COFOG szerint'!F226+'Kiadások COFOG szerint'!F264+'Kiadások COFOG szerint'!F305+'Kiadások COFOG szerint'!F184</f>
        <v>3438400</v>
      </c>
      <c r="G43" s="123"/>
    </row>
    <row r="44" spans="1:7" ht="20.100000000000001" customHeight="1">
      <c r="A44" s="57" t="s">
        <v>204</v>
      </c>
      <c r="B44" s="781" t="s">
        <v>205</v>
      </c>
      <c r="C44" s="552">
        <f>'Kiadások COFOG szerint'!C32+'Kiadások COFOG szerint'!C64+'Kiadások COFOG szerint'!C81+'Kiadások COFOG szerint'!C95+'Kiadások COFOG szerint'!C135+'Kiadások COFOG szerint'!C185+'Kiadások COFOG szerint'!C215+'Kiadások COFOG szerint'!C241+'Kiadások COFOG szerint'!C265+'Kiadások COFOG szerint'!C313</f>
        <v>13240000</v>
      </c>
      <c r="D44" s="291">
        <f t="shared" si="4"/>
        <v>-1934000</v>
      </c>
      <c r="E44" s="731">
        <f t="shared" si="5"/>
        <v>85.392749244713002</v>
      </c>
      <c r="F44" s="547">
        <f>'Kiadások COFOG szerint'!F32+'Kiadások COFOG szerint'!F64+'Kiadások COFOG szerint'!F81+'Kiadások COFOG szerint'!F95+'Kiadások COFOG szerint'!F135+'Kiadások COFOG szerint'!F185+'Kiadások COFOG szerint'!F215+'Kiadások COFOG szerint'!F241+'Kiadások COFOG szerint'!F265+'Kiadások COFOG szerint'!F313</f>
        <v>11306000</v>
      </c>
      <c r="G44" s="123"/>
    </row>
    <row r="45" spans="1:7" ht="20.100000000000001" customHeight="1">
      <c r="A45" s="57" t="s">
        <v>210</v>
      </c>
      <c r="B45" s="781" t="s">
        <v>211</v>
      </c>
      <c r="C45" s="552">
        <f>'Kiadások COFOG szerint'!C33+'Kiadások COFOG szerint'!C96+'Kiadások COFOG szerint'!C216</f>
        <v>50000</v>
      </c>
      <c r="D45" s="291">
        <f t="shared" si="4"/>
        <v>0</v>
      </c>
      <c r="E45" s="731">
        <f t="shared" si="5"/>
        <v>100</v>
      </c>
      <c r="F45" s="547">
        <f>'Kiadások COFOG szerint'!F33+'Kiadások COFOG szerint'!F96+'Kiadások COFOG szerint'!F216</f>
        <v>50000</v>
      </c>
      <c r="G45" s="123"/>
    </row>
    <row r="46" spans="1:7" ht="19.5" customHeight="1">
      <c r="A46" s="57" t="s">
        <v>212</v>
      </c>
      <c r="B46" s="781" t="s">
        <v>213</v>
      </c>
      <c r="C46" s="552">
        <f>'Kiadások COFOG szerint'!C34+'Kiadások COFOG szerint'!C66+'Kiadások COFOG szerint'!C82+'Kiadások COFOG szerint'!C97+'Kiadások COFOG szerint'!C117+'Kiadások COFOG szerint'!C128+'Kiadások COFOG szerint'!C137+'Kiadások COFOG szerint'!C166+'Kiadások COFOG szerint'!C187+'Kiadások COFOG szerint'!C217+'Kiadások COFOG szerint'!C242+'Kiadások COFOG szerint'!C266+'Kiadások COFOG szerint'!C284+'Kiadások COFOG szerint'!C290+'Kiadások COFOG szerint'!C314</f>
        <v>16411240</v>
      </c>
      <c r="D46" s="291">
        <f t="shared" si="4"/>
        <v>1102733</v>
      </c>
      <c r="E46" s="731">
        <f t="shared" si="5"/>
        <v>106.71937647612246</v>
      </c>
      <c r="F46" s="547">
        <f>'Kiadások COFOG szerint'!F34+'Kiadások COFOG szerint'!F66+'Kiadások COFOG szerint'!F82+'Kiadások COFOG szerint'!F97+'Kiadások COFOG szerint'!F117+'Kiadások COFOG szerint'!F128+'Kiadások COFOG szerint'!F137+'Kiadások COFOG szerint'!F166+'Kiadások COFOG szerint'!F187+'Kiadások COFOG szerint'!F217+'Kiadások COFOG szerint'!F242+'Kiadások COFOG szerint'!F266+'Kiadások COFOG szerint'!F284+'Kiadások COFOG szerint'!F290+'Kiadások COFOG szerint'!F314+'Kiadások COFOG szerint'!F155</f>
        <v>17513973</v>
      </c>
      <c r="G46" s="123"/>
    </row>
    <row r="47" spans="1:7" ht="20.100000000000001" customHeight="1">
      <c r="A47" s="57" t="s">
        <v>214</v>
      </c>
      <c r="B47" s="781" t="s">
        <v>215</v>
      </c>
      <c r="C47" s="552">
        <f>'Kiadások COFOG szerint'!C35</f>
        <v>4400000</v>
      </c>
      <c r="D47" s="291">
        <f t="shared" si="4"/>
        <v>0</v>
      </c>
      <c r="E47" s="731">
        <f t="shared" si="5"/>
        <v>100</v>
      </c>
      <c r="F47" s="547">
        <f>'Kiadások COFOG szerint'!F35</f>
        <v>4400000</v>
      </c>
      <c r="G47" s="123"/>
    </row>
    <row r="48" spans="1:7" ht="20.100000000000001" customHeight="1">
      <c r="A48" s="57" t="s">
        <v>216</v>
      </c>
      <c r="B48" s="781" t="s">
        <v>217</v>
      </c>
      <c r="C48" s="552">
        <f>'Kiadások COFOG szerint'!C36+'Kiadások COFOG szerint'!C188</f>
        <v>10000</v>
      </c>
      <c r="D48" s="291">
        <f t="shared" si="4"/>
        <v>0</v>
      </c>
      <c r="E48" s="731">
        <f t="shared" si="5"/>
        <v>100</v>
      </c>
      <c r="F48" s="547">
        <f>'Kiadások COFOG szerint'!F36+'Kiadások COFOG szerint'!F188</f>
        <v>10000</v>
      </c>
      <c r="G48" s="123"/>
    </row>
    <row r="49" spans="1:11" ht="20.100000000000001" customHeight="1" thickBot="1">
      <c r="A49" s="57" t="s">
        <v>218</v>
      </c>
      <c r="B49" s="781" t="s">
        <v>219</v>
      </c>
      <c r="C49" s="552">
        <f>'Kiadások COFOG szerint'!C37</f>
        <v>430000</v>
      </c>
      <c r="D49" s="733">
        <f t="shared" si="4"/>
        <v>700000</v>
      </c>
      <c r="E49" s="731">
        <f t="shared" si="5"/>
        <v>262.7906976744186</v>
      </c>
      <c r="F49" s="547">
        <f>'Kiadások COFOG szerint'!F37+'Kiadások COFOG szerint'!F189</f>
        <v>1130000</v>
      </c>
      <c r="G49" s="123"/>
    </row>
    <row r="50" spans="1:11" ht="24.95" customHeight="1" thickBot="1">
      <c r="A50" s="842" t="s">
        <v>17</v>
      </c>
      <c r="B50" s="843"/>
      <c r="C50" s="736">
        <f t="shared" ref="C50:D50" si="6">SUM(C22:C35,C39:C49)</f>
        <v>89471240</v>
      </c>
      <c r="D50" s="735">
        <f t="shared" si="6"/>
        <v>2874419</v>
      </c>
      <c r="E50" s="734">
        <f>SUM(F50/C50*100)</f>
        <v>103.21267370386282</v>
      </c>
      <c r="F50" s="126">
        <f>SUM(F22:F35,F39:F49)</f>
        <v>92345659</v>
      </c>
      <c r="G50" s="123"/>
    </row>
    <row r="51" spans="1:11" ht="21.75" customHeight="1">
      <c r="A51" s="127" t="s">
        <v>220</v>
      </c>
      <c r="B51" s="784" t="s">
        <v>221</v>
      </c>
      <c r="C51" s="416">
        <v>0</v>
      </c>
      <c r="D51" s="289">
        <f>F51-C51</f>
        <v>0</v>
      </c>
      <c r="E51" s="604">
        <v>0</v>
      </c>
      <c r="F51" s="550">
        <f>'Kiadások COFOG szerint'!F295</f>
        <v>0</v>
      </c>
      <c r="G51" s="123"/>
    </row>
    <row r="52" spans="1:11" ht="20.100000000000001" customHeight="1">
      <c r="A52" s="53" t="s">
        <v>222</v>
      </c>
      <c r="B52" s="780" t="s">
        <v>223</v>
      </c>
      <c r="C52" s="775">
        <v>0</v>
      </c>
      <c r="D52" s="475">
        <f>F52-C52</f>
        <v>0</v>
      </c>
      <c r="E52" s="604">
        <v>0</v>
      </c>
      <c r="F52" s="548"/>
      <c r="G52" s="128"/>
    </row>
    <row r="53" spans="1:11">
      <c r="A53" s="57" t="s">
        <v>224</v>
      </c>
      <c r="B53" s="781" t="s">
        <v>305</v>
      </c>
      <c r="C53" s="773">
        <f>SUM('Kiadások COFOG szerint'!C316)</f>
        <v>6300000</v>
      </c>
      <c r="D53" s="551">
        <f>F53-C53</f>
        <v>0</v>
      </c>
      <c r="E53" s="604">
        <v>0</v>
      </c>
      <c r="F53" s="547">
        <f>'Kiadások COFOG szerint'!F316</f>
        <v>6300000</v>
      </c>
      <c r="G53" s="128"/>
    </row>
    <row r="54" spans="1:11" ht="20.100000000000001" customHeight="1">
      <c r="A54" s="57" t="s">
        <v>225</v>
      </c>
      <c r="B54" s="781" t="s">
        <v>226</v>
      </c>
      <c r="C54" s="552">
        <v>5500000</v>
      </c>
      <c r="D54" s="551">
        <f>F54-C54</f>
        <v>0</v>
      </c>
      <c r="E54" s="604">
        <v>0</v>
      </c>
      <c r="F54" s="547">
        <f>'Kiadások COFOG szerint'!F317</f>
        <v>5500000</v>
      </c>
      <c r="G54" s="128"/>
    </row>
    <row r="55" spans="1:11" ht="20.100000000000001" customHeight="1">
      <c r="A55" s="57" t="s">
        <v>227</v>
      </c>
      <c r="B55" s="781" t="s">
        <v>485</v>
      </c>
      <c r="C55" s="552"/>
      <c r="D55" s="290"/>
      <c r="E55" s="604">
        <v>0</v>
      </c>
      <c r="F55" s="605"/>
      <c r="G55" s="128"/>
    </row>
    <row r="56" spans="1:11" ht="20.100000000000001" customHeight="1">
      <c r="A56" s="57" t="s">
        <v>228</v>
      </c>
      <c r="B56" s="781" t="s">
        <v>229</v>
      </c>
      <c r="C56" s="552"/>
      <c r="D56" s="290">
        <f>F56-C56</f>
        <v>0</v>
      </c>
      <c r="E56" s="604">
        <v>0</v>
      </c>
      <c r="F56" s="547"/>
      <c r="G56" s="128"/>
    </row>
    <row r="57" spans="1:11" ht="18.75" customHeight="1" thickBot="1">
      <c r="A57" s="61" t="s">
        <v>486</v>
      </c>
      <c r="B57" s="785" t="s">
        <v>463</v>
      </c>
      <c r="C57" s="553">
        <f>SUM('Kiadások COFOG szerint'!C315)</f>
        <v>0</v>
      </c>
      <c r="D57" s="291">
        <f>F57-C57</f>
        <v>0</v>
      </c>
      <c r="E57" s="604">
        <v>0</v>
      </c>
      <c r="F57" s="606">
        <f>'Kiadások COFOG szerint'!F315</f>
        <v>0</v>
      </c>
      <c r="G57" s="128"/>
    </row>
    <row r="58" spans="1:11" ht="25.5" customHeight="1" thickBot="1">
      <c r="A58" s="842" t="s">
        <v>21</v>
      </c>
      <c r="B58" s="843"/>
      <c r="C58" s="415">
        <f>SUM(C51:C57)</f>
        <v>11800000</v>
      </c>
      <c r="D58" s="126">
        <f>SUM(D51:D57)</f>
        <v>0</v>
      </c>
      <c r="E58" s="589">
        <f>F58/C58*100</f>
        <v>100</v>
      </c>
      <c r="F58" s="125">
        <f>SUM(F51:F57)</f>
        <v>11800000</v>
      </c>
      <c r="G58" s="128"/>
    </row>
    <row r="59" spans="1:11" ht="24.95" customHeight="1">
      <c r="A59" s="625" t="s">
        <v>231</v>
      </c>
      <c r="B59" s="786" t="s">
        <v>232</v>
      </c>
      <c r="C59" s="776">
        <v>0</v>
      </c>
      <c r="D59" s="566">
        <f>F59-C59</f>
        <v>0</v>
      </c>
      <c r="E59" s="622">
        <v>0</v>
      </c>
      <c r="F59" s="560">
        <f>'Kiadások COFOG szerint'!F102</f>
        <v>0</v>
      </c>
      <c r="G59" s="128"/>
    </row>
    <row r="60" spans="1:11" ht="24.95" customHeight="1">
      <c r="A60" s="57" t="s">
        <v>233</v>
      </c>
      <c r="B60" s="781" t="s">
        <v>234</v>
      </c>
      <c r="C60" s="777">
        <v>0</v>
      </c>
      <c r="D60" s="55">
        <f>F60-C60</f>
        <v>0</v>
      </c>
      <c r="E60" s="623">
        <v>0</v>
      </c>
      <c r="F60" s="561"/>
      <c r="G60" s="128"/>
      <c r="K60" s="77"/>
    </row>
    <row r="61" spans="1:11" ht="24.95" customHeight="1">
      <c r="A61" s="57" t="s">
        <v>230</v>
      </c>
      <c r="B61" s="781" t="s">
        <v>235</v>
      </c>
      <c r="C61" s="558">
        <f>'Kiadások COFOG szerint'!C108</f>
        <v>14550000</v>
      </c>
      <c r="D61" s="55">
        <f>F61-C61</f>
        <v>48529410</v>
      </c>
      <c r="E61" s="624">
        <f>F61/C61*100</f>
        <v>433.5354639175257</v>
      </c>
      <c r="F61" s="561">
        <f>'Kiadások COFOG szerint'!F108</f>
        <v>63079410</v>
      </c>
      <c r="G61" s="129"/>
    </row>
    <row r="62" spans="1:11" ht="24.95" customHeight="1">
      <c r="A62" s="57" t="s">
        <v>236</v>
      </c>
      <c r="B62" s="781" t="s">
        <v>237</v>
      </c>
      <c r="C62" s="777">
        <v>0</v>
      </c>
      <c r="D62" s="55">
        <f>F62-C62</f>
        <v>0</v>
      </c>
      <c r="E62" s="624">
        <v>0</v>
      </c>
      <c r="F62" s="561"/>
      <c r="G62" s="129"/>
    </row>
    <row r="63" spans="1:11" ht="24.95" customHeight="1" thickBot="1">
      <c r="A63" s="70" t="s">
        <v>238</v>
      </c>
      <c r="B63" s="785" t="s">
        <v>239</v>
      </c>
      <c r="C63" s="713">
        <f>'Kiadások COFOG szerint'!C249</f>
        <v>5389700</v>
      </c>
      <c r="D63" s="626">
        <f>F63-C63</f>
        <v>900000</v>
      </c>
      <c r="E63" s="592">
        <f t="shared" ref="E63:E73" si="7">F63/C63*100</f>
        <v>116.69851754272038</v>
      </c>
      <c r="F63" s="562">
        <f>'Kiadások COFOG szerint'!F249</f>
        <v>6289700</v>
      </c>
      <c r="G63" s="129"/>
    </row>
    <row r="64" spans="1:11" ht="24.95" customHeight="1" thickBot="1">
      <c r="A64" s="846" t="s">
        <v>25</v>
      </c>
      <c r="B64" s="847"/>
      <c r="C64" s="417">
        <f>SUM(C59:C63)</f>
        <v>19939700</v>
      </c>
      <c r="D64" s="130">
        <f>SUM(D59:D63)</f>
        <v>49429410</v>
      </c>
      <c r="E64" s="590">
        <f t="shared" si="7"/>
        <v>347.89445177209285</v>
      </c>
      <c r="F64" s="131">
        <f>SUM(F59:F63)</f>
        <v>69369110</v>
      </c>
      <c r="G64" s="128"/>
    </row>
    <row r="65" spans="1:11" ht="20.100000000000001" customHeight="1">
      <c r="A65" s="53" t="s">
        <v>240</v>
      </c>
      <c r="B65" s="786" t="s">
        <v>241</v>
      </c>
      <c r="C65" s="554">
        <f>'Kiadások COFOG szerint'!C47</f>
        <v>1370000</v>
      </c>
      <c r="D65" s="559">
        <f t="shared" ref="D65:D72" si="8">F65-C65</f>
        <v>0</v>
      </c>
      <c r="E65" s="593">
        <f t="shared" si="7"/>
        <v>100</v>
      </c>
      <c r="F65" s="548">
        <f>'Kiadások COFOG szerint'!F47</f>
        <v>1370000</v>
      </c>
      <c r="G65" s="128"/>
    </row>
    <row r="66" spans="1:11" ht="20.100000000000001" customHeight="1">
      <c r="A66" s="57" t="s">
        <v>242</v>
      </c>
      <c r="B66" s="781" t="s">
        <v>243</v>
      </c>
      <c r="C66" s="552">
        <f>'Kiadások COFOG szerint'!C83</f>
        <v>0</v>
      </c>
      <c r="D66" s="559">
        <f t="shared" si="8"/>
        <v>0</v>
      </c>
      <c r="E66" s="597">
        <v>0</v>
      </c>
      <c r="F66" s="547">
        <f>'Kiadások COFOG szerint'!F83</f>
        <v>0</v>
      </c>
      <c r="G66" s="128"/>
    </row>
    <row r="67" spans="1:11" ht="20.100000000000001" customHeight="1">
      <c r="A67" s="57" t="s">
        <v>244</v>
      </c>
      <c r="B67" s="781" t="s">
        <v>245</v>
      </c>
      <c r="C67" s="552">
        <f>'Kiadások COFOG szerint'!C48</f>
        <v>150000</v>
      </c>
      <c r="D67" s="559">
        <f t="shared" si="8"/>
        <v>382280</v>
      </c>
      <c r="E67" s="595">
        <f t="shared" si="7"/>
        <v>354.85333333333335</v>
      </c>
      <c r="F67" s="547">
        <f>'Kiadások COFOG szerint'!F48+'Kiadások COFOG szerint'!F156</f>
        <v>532280</v>
      </c>
      <c r="G67" s="129"/>
    </row>
    <row r="68" spans="1:11" ht="20.100000000000001" customHeight="1">
      <c r="A68" s="57" t="s">
        <v>246</v>
      </c>
      <c r="B68" s="781" t="s">
        <v>247</v>
      </c>
      <c r="C68" s="552">
        <f>'Kiadások COFOG szerint'!C49+'Kiadások COFOG szerint'!C118+'Kiadások COFOG szerint'!C190+'Kiadások COFOG szerint'!C218+'Kiadások COFOG szerint'!C243</f>
        <v>300000</v>
      </c>
      <c r="D68" s="559">
        <f t="shared" si="8"/>
        <v>6106036</v>
      </c>
      <c r="E68" s="595">
        <f>F68/C68*100</f>
        <v>2135.3453333333337</v>
      </c>
      <c r="F68" s="547">
        <f>'Kiadások COFOG szerint'!F49+'Kiadások COFOG szerint'!F118+'Kiadások COFOG szerint'!F190+'Kiadások COFOG szerint'!F218+'Kiadások COFOG szerint'!F243+'Kiadások COFOG szerint'!F157</f>
        <v>6406036</v>
      </c>
      <c r="G68" s="129"/>
      <c r="I68" s="111"/>
    </row>
    <row r="69" spans="1:11" ht="20.100000000000001" customHeight="1">
      <c r="A69" s="57" t="s">
        <v>248</v>
      </c>
      <c r="B69" s="781" t="s">
        <v>249</v>
      </c>
      <c r="C69" s="552">
        <f>'Kiadások COFOG szerint'!C50+'Kiadások COFOG szerint'!C119+'Kiadások COFOG szerint'!C191+'Kiadások COFOG szerint'!C244+'Kiadások COFOG szerint'!C219</f>
        <v>504000</v>
      </c>
      <c r="D69" s="559">
        <f t="shared" si="8"/>
        <v>1736022</v>
      </c>
      <c r="E69" s="595">
        <f t="shared" si="7"/>
        <v>444.44880952380953</v>
      </c>
      <c r="F69" s="547">
        <f>'Kiadások COFOG szerint'!F50+'Kiadások COFOG szerint'!F119+'Kiadások COFOG szerint'!F191+'Kiadások COFOG szerint'!F244+'Kiadások COFOG szerint'!F219+'Kiadások COFOG szerint'!F158</f>
        <v>2240022</v>
      </c>
      <c r="G69" s="129"/>
    </row>
    <row r="70" spans="1:11" ht="20.100000000000001" customHeight="1">
      <c r="A70" s="57" t="s">
        <v>250</v>
      </c>
      <c r="B70" s="781" t="s">
        <v>251</v>
      </c>
      <c r="C70" s="552">
        <f>'Kiadások COFOG szerint'!C84+'Kiadások COFOG szerint'!C138+'Kiadások COFOG szerint'!C152+'Kiadások COFOG szerint'!C192</f>
        <v>0</v>
      </c>
      <c r="D70" s="559">
        <f t="shared" si="8"/>
        <v>135011005</v>
      </c>
      <c r="E70" s="596">
        <v>0</v>
      </c>
      <c r="F70" s="547">
        <f>'Kiadások COFOG szerint'!F84+'Kiadások COFOG szerint'!F138+'Kiadások COFOG szerint'!F192</f>
        <v>135011005</v>
      </c>
      <c r="G70" s="129"/>
    </row>
    <row r="71" spans="1:11" ht="20.100000000000001" customHeight="1">
      <c r="A71" s="57" t="s">
        <v>252</v>
      </c>
      <c r="B71" s="781" t="s">
        <v>253</v>
      </c>
      <c r="C71" s="552">
        <f>'Kiadások COFOG szerint'!C146+'Kiadások COFOG szerint'!C221</f>
        <v>7000000</v>
      </c>
      <c r="D71" s="559">
        <f t="shared" si="8"/>
        <v>0</v>
      </c>
      <c r="E71" s="597">
        <f t="shared" si="7"/>
        <v>100</v>
      </c>
      <c r="F71" s="547">
        <f>'Kiadások COFOG szerint'!F146+'Kiadások COFOG szerint'!F221</f>
        <v>7000000</v>
      </c>
      <c r="G71" s="129"/>
    </row>
    <row r="72" spans="1:11" ht="20.100000000000001" customHeight="1" thickBot="1">
      <c r="A72" s="61" t="s">
        <v>254</v>
      </c>
      <c r="B72" s="785" t="s">
        <v>255</v>
      </c>
      <c r="C72" s="553">
        <f>'Kiadások COFOG szerint'!C85+'Kiadások COFOG szerint'!C147+'Kiadások COFOG szerint'!C153+'Kiadások COFOG szerint'!C193+'Kiadások COFOG szerint'!C139</f>
        <v>1890000</v>
      </c>
      <c r="D72" s="559">
        <f t="shared" si="8"/>
        <v>35993543</v>
      </c>
      <c r="E72" s="594">
        <f t="shared" si="7"/>
        <v>2004.4202645502646</v>
      </c>
      <c r="F72" s="549">
        <f>'Kiadások COFOG szerint'!F85+'Kiadások COFOG szerint'!F147+'Kiadások COFOG szerint'!F193+'Kiadások COFOG szerint'!F139</f>
        <v>37883543</v>
      </c>
      <c r="G72" s="129"/>
    </row>
    <row r="73" spans="1:11" ht="24.95" customHeight="1" thickBot="1">
      <c r="A73" s="842" t="s">
        <v>256</v>
      </c>
      <c r="B73" s="843"/>
      <c r="C73" s="415">
        <f>SUM(C65:C72)</f>
        <v>11214000</v>
      </c>
      <c r="D73" s="132">
        <f>SUM(D65:D72)</f>
        <v>179228886</v>
      </c>
      <c r="E73" s="591">
        <f t="shared" si="7"/>
        <v>1698.2600856072768</v>
      </c>
      <c r="F73" s="125">
        <f>SUM(F65:F72)</f>
        <v>190442886</v>
      </c>
      <c r="G73" s="129"/>
    </row>
    <row r="74" spans="1:11" ht="24.95" customHeight="1" thickBot="1">
      <c r="A74" s="133" t="s">
        <v>419</v>
      </c>
      <c r="B74" s="787" t="s">
        <v>420</v>
      </c>
      <c r="C74" s="735">
        <f>'Kiadások COFOG szerint'!C194</f>
        <v>0</v>
      </c>
      <c r="D74" s="124">
        <f>'Kiadások COFOG szerint'!D194</f>
        <v>0</v>
      </c>
      <c r="E74" s="768">
        <f>'Kiadások COFOG szerint'!E194</f>
        <v>0</v>
      </c>
      <c r="F74" s="134">
        <f>'Kiadások COFOG szerint'!F194</f>
        <v>0</v>
      </c>
      <c r="G74" s="129"/>
    </row>
    <row r="75" spans="1:11" ht="24.95" customHeight="1" thickBot="1">
      <c r="A75" s="135" t="s">
        <v>41</v>
      </c>
      <c r="B75" s="788" t="s">
        <v>258</v>
      </c>
      <c r="C75" s="778">
        <f>'Kiadások COFOG szerint'!C103</f>
        <v>9750886</v>
      </c>
      <c r="D75" s="770">
        <f>'Kiadások COFOG szerint'!D103</f>
        <v>0</v>
      </c>
      <c r="E75" s="769">
        <f>F75/C75*100</f>
        <v>100</v>
      </c>
      <c r="F75" s="136">
        <f>'Kiadások COFOG szerint'!F103</f>
        <v>9750886</v>
      </c>
      <c r="G75" s="129"/>
    </row>
    <row r="76" spans="1:11" ht="24.95" customHeight="1" thickBot="1">
      <c r="A76" s="137" t="s">
        <v>259</v>
      </c>
      <c r="B76" s="788" t="s">
        <v>260</v>
      </c>
      <c r="C76" s="735">
        <f>'Kiadások COFOG szerint'!C109</f>
        <v>221309261</v>
      </c>
      <c r="D76" s="124">
        <f>'Kiadások COFOG szerint'!D109</f>
        <v>6977932</v>
      </c>
      <c r="E76" s="769">
        <f>F76/C76*100</f>
        <v>103.15302304497777</v>
      </c>
      <c r="F76" s="134">
        <f>SUM('Kiadások COFOG szerint'!F109)</f>
        <v>228287193</v>
      </c>
      <c r="G76" s="129"/>
      <c r="K76" s="792"/>
    </row>
    <row r="77" spans="1:11" ht="24.95" customHeight="1" thickBot="1">
      <c r="A77" s="844" t="s">
        <v>35</v>
      </c>
      <c r="B77" s="789" t="s">
        <v>261</v>
      </c>
      <c r="C77" s="418">
        <f>'Kiadások COFOG szerint'!C43</f>
        <v>17920923</v>
      </c>
      <c r="D77" s="418">
        <f>'Kiadások COFOG szerint'!D43</f>
        <v>8219885</v>
      </c>
      <c r="E77" s="598">
        <f>F77/C77*100</f>
        <v>145.867531488194</v>
      </c>
      <c r="F77" s="794">
        <f>'Kiadások COFOG szerint'!F43</f>
        <v>26140808</v>
      </c>
      <c r="G77" s="129"/>
    </row>
    <row r="78" spans="1:11" ht="20.25" customHeight="1" thickBot="1">
      <c r="A78" s="844"/>
      <c r="B78" s="790" t="s">
        <v>262</v>
      </c>
      <c r="C78" s="418">
        <f>'Kiadások COFOG szerint'!C44</f>
        <v>232626378</v>
      </c>
      <c r="D78" s="418">
        <f>'Kiadások COFOG szerint'!D44</f>
        <v>-232626378</v>
      </c>
      <c r="E78" s="796">
        <f>F78/C78*100</f>
        <v>0</v>
      </c>
      <c r="F78" s="795">
        <f>'Kiadások COFOG szerint'!F44</f>
        <v>0</v>
      </c>
      <c r="G78" s="129"/>
    </row>
    <row r="79" spans="1:11" ht="20.25" customHeight="1" thickBot="1">
      <c r="A79" s="844"/>
      <c r="B79" s="791" t="s">
        <v>38</v>
      </c>
      <c r="C79" s="418">
        <v>0</v>
      </c>
      <c r="D79" s="418"/>
      <c r="E79" s="797"/>
      <c r="F79" s="793">
        <f>'Kiadások COFOG szerint'!F45</f>
        <v>0</v>
      </c>
      <c r="G79" s="129"/>
    </row>
    <row r="80" spans="1:11" ht="22.5" customHeight="1" thickBot="1">
      <c r="A80" s="845" t="s">
        <v>263</v>
      </c>
      <c r="B80" s="845"/>
      <c r="C80" s="779">
        <f>C19+C21+C50+C58+C64+C73+C74+C75+C76+C77+C78+C79</f>
        <v>667551738</v>
      </c>
      <c r="D80" s="779">
        <f>D19+D21+D50+D58+D64+D73+D74+D75+D76+D77+D78+D79</f>
        <v>20660504</v>
      </c>
      <c r="E80" s="798">
        <f>F80/C80*100</f>
        <v>103.09496670054359</v>
      </c>
      <c r="F80" s="138">
        <f>F19+F21+F50+F58+F64+F73+F74+F75+F76+F77+F78+F79</f>
        <v>688212242</v>
      </c>
      <c r="G80" s="129"/>
    </row>
    <row r="83" spans="2:6">
      <c r="B83" s="120" t="s">
        <v>377</v>
      </c>
      <c r="C83" s="269">
        <f>C80-'Kiadások COFOG szerint'!C322</f>
        <v>0</v>
      </c>
      <c r="D83" s="269">
        <f>D80-'Kiadások COFOG szerint'!D322</f>
        <v>0</v>
      </c>
      <c r="E83" s="269"/>
      <c r="F83" s="269">
        <f>F80-'Kiadások COFOG szerint'!F322</f>
        <v>0</v>
      </c>
    </row>
  </sheetData>
  <sheetProtection algorithmName="SHA-512" hashValue="meO0VUu8z1jV3LBNLtV1iW1c5i6Vk/aPA/FFzW47FQYsQf/EIunJ6j0dmyYEzsL6QfZjdVAhGO/Wbep/CqKgCg==" saltValue="j0lNHLxBQ1lh0MtUz4zpGQ==" spinCount="100000" sheet="1" objects="1" scenarios="1"/>
  <mergeCells count="14">
    <mergeCell ref="A2:F2"/>
    <mergeCell ref="A3:F3"/>
    <mergeCell ref="A5:F5"/>
    <mergeCell ref="A6:A7"/>
    <mergeCell ref="B6:B7"/>
    <mergeCell ref="C6:F6"/>
    <mergeCell ref="A73:B73"/>
    <mergeCell ref="A77:A79"/>
    <mergeCell ref="A80:B80"/>
    <mergeCell ref="A19:B19"/>
    <mergeCell ref="A21:B21"/>
    <mergeCell ref="A50:B50"/>
    <mergeCell ref="A58:B58"/>
    <mergeCell ref="A64:B64"/>
  </mergeCells>
  <pageMargins left="0.98425196850393704" right="0.59055118110236227" top="0.59055118110236227" bottom="0.59055118110236227" header="0.51181102362204722" footer="0.51181102362204722"/>
  <pageSetup paperSize="9" scale="86" firstPageNumber="0" fitToHeight="0" orientation="portrait" verticalDpi="300" r:id="rId1"/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4"/>
  <sheetViews>
    <sheetView topLeftCell="A172" zoomScaleNormal="100" workbookViewId="0">
      <selection activeCell="F108" sqref="F108"/>
    </sheetView>
  </sheetViews>
  <sheetFormatPr defaultRowHeight="12.75"/>
  <cols>
    <col min="1" max="1" width="12.28515625" customWidth="1"/>
    <col min="2" max="2" width="35.5703125" customWidth="1"/>
    <col min="3" max="3" width="14.140625" customWidth="1"/>
    <col min="4" max="4" width="15.42578125" customWidth="1"/>
    <col min="5" max="5" width="12.5703125" customWidth="1"/>
    <col min="6" max="6" width="16" style="79" customWidth="1"/>
    <col min="7" max="7" width="12.42578125" customWidth="1"/>
    <col min="8" max="8" width="10.7109375" style="77" customWidth="1"/>
    <col min="9" max="9" width="3.42578125" customWidth="1"/>
    <col min="10" max="10" width="8.42578125" customWidth="1"/>
    <col min="11" max="11" width="11.85546875" customWidth="1"/>
    <col min="12" max="12" width="12.5703125" customWidth="1"/>
    <col min="13" max="13" width="8.42578125" customWidth="1"/>
    <col min="14" max="14" width="10.5703125" customWidth="1"/>
    <col min="15" max="15" width="12.42578125" customWidth="1"/>
    <col min="16" max="1024" width="8.42578125" customWidth="1"/>
  </cols>
  <sheetData>
    <row r="1" spans="1:11">
      <c r="E1" s="871" t="s">
        <v>264</v>
      </c>
      <c r="F1" s="872"/>
    </row>
    <row r="2" spans="1:11" ht="15.75">
      <c r="A2" s="810" t="s">
        <v>723</v>
      </c>
      <c r="B2" s="810"/>
      <c r="C2" s="810"/>
      <c r="D2" s="810"/>
      <c r="E2" s="810"/>
      <c r="F2" s="810"/>
    </row>
    <row r="3" spans="1:11" ht="15.75">
      <c r="A3" s="810" t="s">
        <v>389</v>
      </c>
      <c r="B3" s="810"/>
      <c r="C3" s="810"/>
      <c r="D3" s="810"/>
      <c r="E3" s="810"/>
      <c r="F3" s="810"/>
    </row>
    <row r="4" spans="1:11" ht="21.75" customHeight="1">
      <c r="F4" s="50"/>
    </row>
    <row r="5" spans="1:11" ht="18" customHeight="1">
      <c r="A5" s="876" t="s">
        <v>265</v>
      </c>
      <c r="B5" s="876"/>
      <c r="C5" s="876"/>
      <c r="D5" s="876"/>
      <c r="E5" s="876"/>
      <c r="F5" s="876"/>
      <c r="H5" s="119"/>
    </row>
    <row r="6" spans="1:11" s="39" customFormat="1" ht="18" customHeight="1" thickBot="1">
      <c r="A6" s="81"/>
      <c r="B6" s="81"/>
      <c r="C6" s="81"/>
      <c r="D6" s="81"/>
      <c r="E6" s="81"/>
      <c r="F6" s="81"/>
      <c r="H6" s="139"/>
    </row>
    <row r="7" spans="1:11" ht="23.25" customHeight="1" thickBot="1">
      <c r="A7" s="833" t="s">
        <v>114</v>
      </c>
      <c r="B7" s="833"/>
      <c r="C7" s="833"/>
      <c r="D7" s="833"/>
      <c r="E7" s="833"/>
      <c r="F7" s="833"/>
    </row>
    <row r="8" spans="1:11" ht="17.25" customHeight="1" thickBot="1">
      <c r="A8" s="877" t="s">
        <v>46</v>
      </c>
      <c r="B8" s="878" t="s">
        <v>47</v>
      </c>
      <c r="C8" s="854">
        <v>2023</v>
      </c>
      <c r="D8" s="857"/>
      <c r="E8" s="857"/>
      <c r="F8" s="858"/>
    </row>
    <row r="9" spans="1:11" ht="24.75" customHeight="1" thickBot="1">
      <c r="A9" s="877"/>
      <c r="B9" s="878"/>
      <c r="C9" s="140" t="s">
        <v>48</v>
      </c>
      <c r="D9" s="140" t="s">
        <v>508</v>
      </c>
      <c r="E9" s="140" t="s">
        <v>383</v>
      </c>
      <c r="F9" s="443" t="s">
        <v>509</v>
      </c>
    </row>
    <row r="10" spans="1:11" ht="15" customHeight="1">
      <c r="A10" s="141" t="s">
        <v>141</v>
      </c>
      <c r="B10" s="142" t="s">
        <v>266</v>
      </c>
      <c r="C10" s="143">
        <v>0</v>
      </c>
      <c r="D10" s="143">
        <f>F10-C10</f>
        <v>0</v>
      </c>
      <c r="E10" s="301">
        <v>0</v>
      </c>
      <c r="F10" s="144">
        <f>'Kiadások részletes COFOG'!F14</f>
        <v>0</v>
      </c>
    </row>
    <row r="11" spans="1:11" ht="15" customHeight="1">
      <c r="A11" s="318" t="s">
        <v>288</v>
      </c>
      <c r="B11" s="142" t="s">
        <v>289</v>
      </c>
      <c r="C11" s="143">
        <v>0</v>
      </c>
      <c r="D11" s="143">
        <f>F11-C11</f>
        <v>0</v>
      </c>
      <c r="E11" s="301"/>
      <c r="F11" s="144">
        <v>0</v>
      </c>
    </row>
    <row r="12" spans="1:11" ht="15" customHeight="1">
      <c r="A12" s="318" t="s">
        <v>423</v>
      </c>
      <c r="B12" s="142" t="s">
        <v>482</v>
      </c>
      <c r="C12" s="143"/>
      <c r="D12" s="143"/>
      <c r="E12" s="301"/>
      <c r="F12" s="144"/>
    </row>
    <row r="13" spans="1:11" ht="15" customHeight="1">
      <c r="A13" s="145" t="s">
        <v>145</v>
      </c>
      <c r="B13" s="87" t="s">
        <v>146</v>
      </c>
      <c r="C13" s="106">
        <v>0</v>
      </c>
      <c r="D13" s="143">
        <f>F13-C13</f>
        <v>0</v>
      </c>
      <c r="E13" s="301"/>
      <c r="F13" s="107"/>
      <c r="K13" s="146"/>
    </row>
    <row r="14" spans="1:11" ht="15" customHeight="1">
      <c r="A14" s="86" t="s">
        <v>151</v>
      </c>
      <c r="B14" s="87" t="s">
        <v>152</v>
      </c>
      <c r="C14" s="106">
        <v>21310000</v>
      </c>
      <c r="D14" s="143">
        <f>F14-C14</f>
        <v>0</v>
      </c>
      <c r="E14" s="301">
        <f>F14/C14*100</f>
        <v>100</v>
      </c>
      <c r="F14" s="107">
        <f>'Kiadások részletes COFOG'!F25</f>
        <v>21310000</v>
      </c>
      <c r="G14" s="147"/>
    </row>
    <row r="15" spans="1:11" ht="22.5" customHeight="1">
      <c r="A15" s="86" t="s">
        <v>153</v>
      </c>
      <c r="B15" s="87" t="s">
        <v>154</v>
      </c>
      <c r="C15" s="106">
        <v>1800000</v>
      </c>
      <c r="D15" s="143">
        <f>F15-C15</f>
        <v>0</v>
      </c>
      <c r="E15" s="301">
        <f>F15/C15*100</f>
        <v>100</v>
      </c>
      <c r="F15" s="107">
        <f>'Kiadások részletes COFOG'!F31</f>
        <v>1800000</v>
      </c>
    </row>
    <row r="16" spans="1:11" ht="15" customHeight="1">
      <c r="A16" s="114" t="s">
        <v>398</v>
      </c>
      <c r="B16" s="87" t="s">
        <v>397</v>
      </c>
      <c r="C16" s="106">
        <v>250000</v>
      </c>
      <c r="D16" s="143">
        <f>F16-C16</f>
        <v>750000</v>
      </c>
      <c r="E16" s="301">
        <f>F16/C16*100</f>
        <v>400</v>
      </c>
      <c r="F16" s="107">
        <f>'Kiadások részletes COFOG'!F32</f>
        <v>1000000</v>
      </c>
    </row>
    <row r="17" spans="1:6">
      <c r="A17" s="874"/>
      <c r="B17" s="875"/>
      <c r="C17" s="485">
        <v>23360000</v>
      </c>
      <c r="D17" s="485">
        <f>SUM(D10:D16)</f>
        <v>750000</v>
      </c>
      <c r="E17" s="486">
        <f>F17/C17*100</f>
        <v>103.21061643835617</v>
      </c>
      <c r="F17" s="487">
        <f>SUM(F10:F16)</f>
        <v>24110000</v>
      </c>
    </row>
    <row r="18" spans="1:6" ht="15" customHeight="1">
      <c r="A18" s="86" t="s">
        <v>157</v>
      </c>
      <c r="B18" s="87" t="s">
        <v>158</v>
      </c>
      <c r="C18" s="106">
        <v>3100000</v>
      </c>
      <c r="D18" s="143">
        <f>F18-C18</f>
        <v>200000</v>
      </c>
      <c r="E18" s="301">
        <f>F18/C18*100</f>
        <v>106.45161290322579</v>
      </c>
      <c r="F18" s="107">
        <f>SUM('Kiadások részletes COFOG'!F36)</f>
        <v>3300000</v>
      </c>
    </row>
    <row r="19" spans="1:6">
      <c r="A19" s="874"/>
      <c r="B19" s="875"/>
      <c r="C19" s="485">
        <v>3100000</v>
      </c>
      <c r="D19" s="485">
        <f>SUM(D18:D18)</f>
        <v>200000</v>
      </c>
      <c r="E19" s="486">
        <f t="shared" ref="E19:E24" si="0">F19/C19*100</f>
        <v>106.45161290322579</v>
      </c>
      <c r="F19" s="487">
        <f>SUM(F18:F18)</f>
        <v>3300000</v>
      </c>
    </row>
    <row r="20" spans="1:6" ht="15" customHeight="1">
      <c r="A20" s="86" t="s">
        <v>161</v>
      </c>
      <c r="B20" s="87" t="s">
        <v>390</v>
      </c>
      <c r="C20" s="106">
        <v>200000</v>
      </c>
      <c r="D20" s="143">
        <f t="shared" ref="D20:D24" si="1">F20-C20</f>
        <v>0</v>
      </c>
      <c r="E20" s="301">
        <f t="shared" si="0"/>
        <v>100</v>
      </c>
      <c r="F20" s="107">
        <f>'Kiadások részletes COFOG'!F40</f>
        <v>200000</v>
      </c>
    </row>
    <row r="21" spans="1:6" ht="15" customHeight="1">
      <c r="A21" s="86" t="s">
        <v>169</v>
      </c>
      <c r="B21" s="87" t="s">
        <v>170</v>
      </c>
      <c r="C21" s="106">
        <v>2000000</v>
      </c>
      <c r="D21" s="143">
        <f t="shared" si="1"/>
        <v>0</v>
      </c>
      <c r="E21" s="301">
        <f t="shared" si="0"/>
        <v>100</v>
      </c>
      <c r="F21" s="107">
        <f>'Kiadások részletes COFOG'!F45</f>
        <v>2000000</v>
      </c>
    </row>
    <row r="22" spans="1:6" ht="15" customHeight="1">
      <c r="A22" s="86" t="s">
        <v>183</v>
      </c>
      <c r="B22" s="87" t="s">
        <v>391</v>
      </c>
      <c r="C22" s="106">
        <v>2040000</v>
      </c>
      <c r="D22" s="143">
        <f t="shared" si="1"/>
        <v>0</v>
      </c>
      <c r="E22" s="301">
        <f t="shared" si="0"/>
        <v>100</v>
      </c>
      <c r="F22" s="107">
        <f>'Kiadások részletes COFOG'!F49</f>
        <v>2040000</v>
      </c>
    </row>
    <row r="23" spans="1:6" ht="15" customHeight="1">
      <c r="A23" s="86" t="s">
        <v>184</v>
      </c>
      <c r="B23" s="87" t="s">
        <v>185</v>
      </c>
      <c r="C23" s="106">
        <v>264000</v>
      </c>
      <c r="D23" s="143">
        <f t="shared" si="1"/>
        <v>0</v>
      </c>
      <c r="E23" s="301">
        <f t="shared" si="0"/>
        <v>100</v>
      </c>
      <c r="F23" s="107">
        <f>'Kiadások részletes COFOG'!F51</f>
        <v>264000</v>
      </c>
    </row>
    <row r="24" spans="1:6" ht="15" customHeight="1">
      <c r="A24" s="114" t="s">
        <v>186</v>
      </c>
      <c r="B24" s="87" t="s">
        <v>287</v>
      </c>
      <c r="C24" s="106">
        <v>2940000</v>
      </c>
      <c r="D24" s="143">
        <f t="shared" si="1"/>
        <v>0</v>
      </c>
      <c r="E24" s="301">
        <f t="shared" si="0"/>
        <v>100</v>
      </c>
      <c r="F24" s="107">
        <f>SUM(F25:F27)</f>
        <v>2940000</v>
      </c>
    </row>
    <row r="25" spans="1:6" ht="15" customHeight="1">
      <c r="A25" s="86" t="s">
        <v>188</v>
      </c>
      <c r="B25" s="87" t="s">
        <v>267</v>
      </c>
      <c r="C25" s="106">
        <v>420000</v>
      </c>
      <c r="D25" s="143"/>
      <c r="E25" s="301">
        <v>0</v>
      </c>
      <c r="F25" s="107">
        <f>'Kiadások részletes COFOG'!F52</f>
        <v>420000</v>
      </c>
    </row>
    <row r="26" spans="1:6" ht="15" customHeight="1">
      <c r="A26" s="86" t="s">
        <v>190</v>
      </c>
      <c r="B26" s="87" t="s">
        <v>268</v>
      </c>
      <c r="C26" s="106">
        <v>2400000</v>
      </c>
      <c r="D26" s="143"/>
      <c r="E26" s="301">
        <v>0</v>
      </c>
      <c r="F26" s="107">
        <f>'Kiadások részletes COFOG'!F53</f>
        <v>2400000</v>
      </c>
    </row>
    <row r="27" spans="1:6" ht="15" customHeight="1">
      <c r="A27" s="114" t="s">
        <v>186</v>
      </c>
      <c r="B27" s="87" t="s">
        <v>392</v>
      </c>
      <c r="C27" s="106">
        <v>120000</v>
      </c>
      <c r="D27" s="143"/>
      <c r="E27" s="301">
        <v>0</v>
      </c>
      <c r="F27" s="107">
        <f>'Kiadások részletes COFOG'!F54</f>
        <v>120000</v>
      </c>
    </row>
    <row r="28" spans="1:6">
      <c r="A28" s="86" t="s">
        <v>196</v>
      </c>
      <c r="B28" s="87" t="s">
        <v>197</v>
      </c>
      <c r="C28" s="106">
        <v>150000</v>
      </c>
      <c r="D28" s="143">
        <f t="shared" ref="D28:D35" si="2">F28-C28</f>
        <v>0</v>
      </c>
      <c r="E28" s="301">
        <f t="shared" ref="E28:E37" si="3">F28/C28*100</f>
        <v>100</v>
      </c>
      <c r="F28" s="107">
        <f>'Kiadások részletes COFOG'!F59</f>
        <v>150000</v>
      </c>
    </row>
    <row r="29" spans="1:6" ht="15" customHeight="1">
      <c r="A29" s="86" t="s">
        <v>198</v>
      </c>
      <c r="B29" s="87" t="s">
        <v>199</v>
      </c>
      <c r="C29" s="106">
        <v>810000</v>
      </c>
      <c r="D29" s="143">
        <f t="shared" si="2"/>
        <v>0</v>
      </c>
      <c r="E29" s="301">
        <f t="shared" si="3"/>
        <v>100</v>
      </c>
      <c r="F29" s="107">
        <f>'Kiadások részletes COFOG'!F63</f>
        <v>810000</v>
      </c>
    </row>
    <row r="30" spans="1:6" ht="15" customHeight="1">
      <c r="A30" s="114" t="s">
        <v>393</v>
      </c>
      <c r="B30" s="87" t="s">
        <v>394</v>
      </c>
      <c r="C30" s="106">
        <v>3000000</v>
      </c>
      <c r="D30" s="143">
        <f t="shared" si="2"/>
        <v>0</v>
      </c>
      <c r="E30" s="301">
        <f t="shared" si="3"/>
        <v>100</v>
      </c>
      <c r="F30" s="107">
        <f>'Kiadások részletes COFOG'!F74</f>
        <v>3000000</v>
      </c>
    </row>
    <row r="31" spans="1:6" ht="15" customHeight="1">
      <c r="A31" s="86" t="s">
        <v>200</v>
      </c>
      <c r="B31" s="87" t="s">
        <v>201</v>
      </c>
      <c r="C31" s="106">
        <v>3160000</v>
      </c>
      <c r="D31" s="143">
        <f t="shared" si="2"/>
        <v>0</v>
      </c>
      <c r="E31" s="301">
        <f t="shared" si="3"/>
        <v>100</v>
      </c>
      <c r="F31" s="107">
        <f>'Kiadások részletes COFOG'!F80</f>
        <v>3160000</v>
      </c>
    </row>
    <row r="32" spans="1:6" ht="15" customHeight="1">
      <c r="A32" s="86" t="s">
        <v>204</v>
      </c>
      <c r="B32" s="87" t="s">
        <v>205</v>
      </c>
      <c r="C32" s="106">
        <v>5120000</v>
      </c>
      <c r="D32" s="143">
        <f t="shared" si="2"/>
        <v>-944000</v>
      </c>
      <c r="E32" s="301">
        <f t="shared" si="3"/>
        <v>81.5625</v>
      </c>
      <c r="F32" s="107">
        <f>'Kiadások részletes COFOG'!F88</f>
        <v>4176000</v>
      </c>
    </row>
    <row r="33" spans="1:12" ht="15" customHeight="1">
      <c r="A33" s="114" t="s">
        <v>269</v>
      </c>
      <c r="B33" s="87" t="s">
        <v>395</v>
      </c>
      <c r="C33" s="106">
        <v>0</v>
      </c>
      <c r="D33" s="143">
        <f t="shared" si="2"/>
        <v>0</v>
      </c>
      <c r="E33" s="301">
        <v>0</v>
      </c>
      <c r="F33" s="107">
        <f>SUM('Kiadások részletes COFOG'!F89)</f>
        <v>0</v>
      </c>
    </row>
    <row r="34" spans="1:12" ht="21.75" customHeight="1">
      <c r="A34" s="86" t="s">
        <v>212</v>
      </c>
      <c r="B34" s="87" t="s">
        <v>270</v>
      </c>
      <c r="C34" s="106">
        <v>4000000</v>
      </c>
      <c r="D34" s="143">
        <f t="shared" si="2"/>
        <v>200000</v>
      </c>
      <c r="E34" s="301">
        <f t="shared" si="3"/>
        <v>105</v>
      </c>
      <c r="F34" s="107">
        <f>'Kiadások részletes COFOG'!F90</f>
        <v>4200000</v>
      </c>
      <c r="L34" s="77"/>
    </row>
    <row r="35" spans="1:12" ht="15" customHeight="1">
      <c r="A35" s="86" t="s">
        <v>214</v>
      </c>
      <c r="B35" s="87" t="s">
        <v>215</v>
      </c>
      <c r="C35" s="106">
        <v>4400000</v>
      </c>
      <c r="D35" s="143">
        <f t="shared" si="2"/>
        <v>0</v>
      </c>
      <c r="E35" s="301">
        <f t="shared" si="3"/>
        <v>100</v>
      </c>
      <c r="F35" s="107">
        <f>SUM('Kiadások részletes COFOG'!F91)</f>
        <v>4400000</v>
      </c>
      <c r="L35" s="77"/>
    </row>
    <row r="36" spans="1:12" ht="15" customHeight="1">
      <c r="A36" s="86" t="s">
        <v>216</v>
      </c>
      <c r="B36" s="87" t="s">
        <v>217</v>
      </c>
      <c r="C36" s="106">
        <v>10000</v>
      </c>
      <c r="D36" s="143">
        <f>F36-C36</f>
        <v>0</v>
      </c>
      <c r="E36" s="301">
        <f t="shared" si="3"/>
        <v>100</v>
      </c>
      <c r="F36" s="107">
        <f>'Kiadások részletes COFOG'!F92</f>
        <v>10000</v>
      </c>
    </row>
    <row r="37" spans="1:12" ht="15" customHeight="1">
      <c r="A37" s="86" t="s">
        <v>218</v>
      </c>
      <c r="B37" s="87" t="s">
        <v>219</v>
      </c>
      <c r="C37" s="106">
        <v>430000</v>
      </c>
      <c r="D37" s="143">
        <f>F37-C37</f>
        <v>200000</v>
      </c>
      <c r="E37" s="301">
        <f t="shared" si="3"/>
        <v>146.51162790697674</v>
      </c>
      <c r="F37" s="107">
        <f>'Kiadások részletes COFOG'!F98</f>
        <v>630000</v>
      </c>
    </row>
    <row r="38" spans="1:12">
      <c r="A38" s="874"/>
      <c r="B38" s="875"/>
      <c r="C38" s="485">
        <v>28524000</v>
      </c>
      <c r="D38" s="485">
        <f>SUM(D20:D24,D28:D37)</f>
        <v>-544000</v>
      </c>
      <c r="E38" s="486">
        <f>F38/C38*100</f>
        <v>98.092834104613658</v>
      </c>
      <c r="F38" s="487">
        <f>SUM(F20:F24,F28:F37)</f>
        <v>27980000</v>
      </c>
    </row>
    <row r="39" spans="1:12" ht="24" customHeight="1">
      <c r="A39" s="86" t="s">
        <v>231</v>
      </c>
      <c r="B39" s="87" t="s">
        <v>232</v>
      </c>
      <c r="C39" s="106">
        <v>0</v>
      </c>
      <c r="D39" s="143">
        <f t="shared" ref="D39:D45" si="4">F39-C39</f>
        <v>0</v>
      </c>
      <c r="E39" s="301"/>
      <c r="F39" s="107">
        <v>0</v>
      </c>
    </row>
    <row r="40" spans="1:12" ht="31.5" customHeight="1">
      <c r="A40" s="86" t="s">
        <v>233</v>
      </c>
      <c r="B40" s="87" t="s">
        <v>234</v>
      </c>
      <c r="C40" s="106"/>
      <c r="D40" s="143">
        <f t="shared" si="4"/>
        <v>0</v>
      </c>
      <c r="E40" s="301"/>
      <c r="F40" s="107"/>
    </row>
    <row r="41" spans="1:12" ht="31.5" customHeight="1">
      <c r="A41" s="114" t="s">
        <v>544</v>
      </c>
      <c r="B41" s="87" t="s">
        <v>545</v>
      </c>
      <c r="C41" s="106"/>
      <c r="D41" s="143">
        <f t="shared" si="4"/>
        <v>0</v>
      </c>
      <c r="E41" s="301"/>
      <c r="F41" s="107"/>
    </row>
    <row r="42" spans="1:12" ht="31.5">
      <c r="A42" s="114" t="s">
        <v>238</v>
      </c>
      <c r="B42" s="87" t="s">
        <v>272</v>
      </c>
      <c r="C42" s="106"/>
      <c r="D42" s="143">
        <f t="shared" si="4"/>
        <v>0</v>
      </c>
      <c r="E42" s="301"/>
      <c r="F42" s="107"/>
    </row>
    <row r="43" spans="1:12" ht="15" customHeight="1">
      <c r="A43" s="873" t="s">
        <v>35</v>
      </c>
      <c r="B43" s="87" t="s">
        <v>273</v>
      </c>
      <c r="C43" s="106">
        <v>17920923</v>
      </c>
      <c r="D43" s="143">
        <f t="shared" si="4"/>
        <v>8219885</v>
      </c>
      <c r="E43" s="301">
        <f>F43/C43*100</f>
        <v>145.867531488194</v>
      </c>
      <c r="F43" s="107">
        <f>'Kiadások részletes COFOG'!F104</f>
        <v>26140808</v>
      </c>
    </row>
    <row r="44" spans="1:12" ht="15" customHeight="1">
      <c r="A44" s="873"/>
      <c r="B44" s="87" t="s">
        <v>274</v>
      </c>
      <c r="C44" s="106">
        <v>232626378</v>
      </c>
      <c r="D44" s="143">
        <f t="shared" si="4"/>
        <v>-232626378</v>
      </c>
      <c r="E44" s="301">
        <f>F44/C44*100</f>
        <v>0</v>
      </c>
      <c r="F44" s="107">
        <f>SUM('Kiadások részletes COFOG'!F105:F113)</f>
        <v>0</v>
      </c>
    </row>
    <row r="45" spans="1:12" ht="15" customHeight="1">
      <c r="A45" s="873"/>
      <c r="B45" s="87" t="s">
        <v>38</v>
      </c>
      <c r="C45" s="106">
        <v>0</v>
      </c>
      <c r="D45" s="143">
        <f t="shared" si="4"/>
        <v>0</v>
      </c>
      <c r="E45" s="301"/>
      <c r="F45" s="107">
        <f>'Kiadások részletes COFOG'!F113</f>
        <v>0</v>
      </c>
      <c r="G45" s="148"/>
    </row>
    <row r="46" spans="1:12">
      <c r="A46" s="874"/>
      <c r="B46" s="875"/>
      <c r="C46" s="485">
        <v>250547301</v>
      </c>
      <c r="D46" s="485">
        <f t="shared" ref="D46" si="5">SUM(D39:D45)</f>
        <v>-224406493</v>
      </c>
      <c r="E46" s="486">
        <f t="shared" ref="E46:E51" si="6">F46/C46*100</f>
        <v>10.433482179079629</v>
      </c>
      <c r="F46" s="487">
        <f>SUM(F39:F45)</f>
        <v>26140808</v>
      </c>
      <c r="G46" s="148"/>
    </row>
    <row r="47" spans="1:12" ht="15" customHeight="1">
      <c r="A47" s="86" t="s">
        <v>240</v>
      </c>
      <c r="B47" s="87" t="s">
        <v>241</v>
      </c>
      <c r="C47" s="106">
        <v>1370000</v>
      </c>
      <c r="D47" s="143">
        <f>F47-C47</f>
        <v>0</v>
      </c>
      <c r="E47" s="301">
        <f t="shared" si="6"/>
        <v>100</v>
      </c>
      <c r="F47" s="107">
        <f>'Kiadások részletes COFOG'!F115</f>
        <v>1370000</v>
      </c>
      <c r="H47" s="149"/>
    </row>
    <row r="48" spans="1:12" ht="16.5" customHeight="1">
      <c r="A48" s="86" t="s">
        <v>244</v>
      </c>
      <c r="B48" s="87" t="s">
        <v>245</v>
      </c>
      <c r="C48" s="106">
        <v>150000</v>
      </c>
      <c r="D48" s="143">
        <f>F48-C48</f>
        <v>0</v>
      </c>
      <c r="E48" s="301">
        <f t="shared" si="6"/>
        <v>100</v>
      </c>
      <c r="F48" s="107">
        <f>'Kiadások részletes COFOG'!F116</f>
        <v>150000</v>
      </c>
    </row>
    <row r="49" spans="1:9" ht="15.75" customHeight="1">
      <c r="A49" s="86" t="s">
        <v>246</v>
      </c>
      <c r="B49" s="87" t="s">
        <v>247</v>
      </c>
      <c r="C49" s="106">
        <v>100000</v>
      </c>
      <c r="D49" s="143">
        <f>F49-C49</f>
        <v>0</v>
      </c>
      <c r="E49" s="301">
        <v>0</v>
      </c>
      <c r="F49" s="107">
        <f>'Kiadások részletes COFOG'!F117</f>
        <v>100000</v>
      </c>
    </row>
    <row r="50" spans="1:9" ht="21">
      <c r="A50" s="86" t="s">
        <v>248</v>
      </c>
      <c r="B50" s="87" t="s">
        <v>275</v>
      </c>
      <c r="C50" s="106">
        <v>450000</v>
      </c>
      <c r="D50" s="143">
        <f>F50-C50</f>
        <v>-10000</v>
      </c>
      <c r="E50" s="301">
        <f t="shared" si="6"/>
        <v>97.777777777777771</v>
      </c>
      <c r="F50" s="107">
        <f>'Kiadások részletes COFOG'!F118</f>
        <v>440000</v>
      </c>
    </row>
    <row r="51" spans="1:9">
      <c r="A51" s="874"/>
      <c r="B51" s="875"/>
      <c r="C51" s="485">
        <v>2070000</v>
      </c>
      <c r="D51" s="485">
        <f t="shared" ref="D51" si="7">SUM(D47:D50)</f>
        <v>-10000</v>
      </c>
      <c r="E51" s="486">
        <f t="shared" si="6"/>
        <v>99.516908212560381</v>
      </c>
      <c r="F51" s="487">
        <f>SUM(F47:F50)</f>
        <v>2060000</v>
      </c>
    </row>
    <row r="52" spans="1:9" ht="15" customHeight="1">
      <c r="A52" s="86" t="s">
        <v>250</v>
      </c>
      <c r="B52" s="87" t="s">
        <v>251</v>
      </c>
      <c r="C52" s="106">
        <v>0</v>
      </c>
      <c r="D52" s="143">
        <f>F52-C52</f>
        <v>0</v>
      </c>
      <c r="E52" s="301"/>
      <c r="F52" s="107">
        <f>'Kiadások részletes COFOG'!F121</f>
        <v>0</v>
      </c>
    </row>
    <row r="53" spans="1:9" ht="21">
      <c r="A53" s="91" t="s">
        <v>254</v>
      </c>
      <c r="B53" s="150" t="s">
        <v>276</v>
      </c>
      <c r="C53" s="419">
        <v>0</v>
      </c>
      <c r="D53" s="143">
        <f>F53-C53</f>
        <v>0</v>
      </c>
      <c r="E53" s="301"/>
      <c r="F53" s="96">
        <f>'Kiadások részletes COFOG'!F122</f>
        <v>0</v>
      </c>
    </row>
    <row r="54" spans="1:9">
      <c r="A54" s="874"/>
      <c r="B54" s="875"/>
      <c r="C54" s="485">
        <v>0</v>
      </c>
      <c r="D54" s="485">
        <f t="shared" ref="D54" si="8">SUM(D52:D53)</f>
        <v>0</v>
      </c>
      <c r="E54" s="486"/>
      <c r="F54" s="487">
        <f>SUM(F52:F53)</f>
        <v>0</v>
      </c>
    </row>
    <row r="55" spans="1:9" ht="22.5" customHeight="1" thickBot="1">
      <c r="A55" s="91" t="s">
        <v>257</v>
      </c>
      <c r="B55" s="92" t="s">
        <v>277</v>
      </c>
      <c r="C55" s="95">
        <v>0</v>
      </c>
      <c r="D55" s="143">
        <f>F55-C55</f>
        <v>0</v>
      </c>
      <c r="E55" s="301"/>
      <c r="F55" s="96">
        <v>0</v>
      </c>
    </row>
    <row r="56" spans="1:9" ht="23.25" customHeight="1" thickBot="1">
      <c r="A56" s="853" t="s">
        <v>278</v>
      </c>
      <c r="B56" s="853"/>
      <c r="C56" s="93">
        <f>SUM(C17,C19,C38,C46,C51,C54,C55)</f>
        <v>307601301</v>
      </c>
      <c r="D56" s="93">
        <f>SUM(D17,D19,D38,D46,D51,D54,D55)</f>
        <v>-224010493</v>
      </c>
      <c r="E56" s="302">
        <f>F56/C56*100</f>
        <v>27.175050212157586</v>
      </c>
      <c r="F56" s="94">
        <f>SUM(F17,F19,F38,F46,F51,F54,F55)</f>
        <v>83590808</v>
      </c>
      <c r="G56" s="77"/>
    </row>
    <row r="57" spans="1:9" ht="26.25" customHeight="1" thickBot="1">
      <c r="A57" s="833" t="s">
        <v>120</v>
      </c>
      <c r="B57" s="833"/>
      <c r="C57" s="833"/>
      <c r="D57" s="833"/>
      <c r="E57" s="833"/>
      <c r="F57" s="833"/>
    </row>
    <row r="58" spans="1:9" ht="21.75" customHeight="1">
      <c r="A58" s="867" t="s">
        <v>46</v>
      </c>
      <c r="B58" s="868" t="s">
        <v>47</v>
      </c>
      <c r="C58" s="854">
        <v>2023</v>
      </c>
      <c r="D58" s="857"/>
      <c r="E58" s="857"/>
      <c r="F58" s="858"/>
    </row>
    <row r="59" spans="1:9" ht="24.75" customHeight="1" thickBot="1">
      <c r="A59" s="867"/>
      <c r="B59" s="868"/>
      <c r="C59" s="140" t="s">
        <v>48</v>
      </c>
      <c r="D59" s="140" t="s">
        <v>508</v>
      </c>
      <c r="E59" s="140" t="s">
        <v>383</v>
      </c>
      <c r="F59" s="443" t="s">
        <v>509</v>
      </c>
    </row>
    <row r="60" spans="1:9" ht="15.95" customHeight="1">
      <c r="A60" s="86" t="s">
        <v>169</v>
      </c>
      <c r="B60" s="87" t="s">
        <v>170</v>
      </c>
      <c r="C60" s="342">
        <v>50000</v>
      </c>
      <c r="D60" s="106">
        <f t="shared" ref="D60:D70" si="9">F60-C60</f>
        <v>0</v>
      </c>
      <c r="E60" s="188">
        <f t="shared" ref="E60" si="10">F60/C60*100</f>
        <v>100</v>
      </c>
      <c r="F60" s="107">
        <f>'Kiadások részletes COFOG'!F127</f>
        <v>50000</v>
      </c>
    </row>
    <row r="61" spans="1:9" ht="15.95" customHeight="1">
      <c r="A61" s="86" t="s">
        <v>188</v>
      </c>
      <c r="B61" s="87" t="s">
        <v>267</v>
      </c>
      <c r="C61" s="342"/>
      <c r="D61" s="106">
        <f t="shared" si="9"/>
        <v>0</v>
      </c>
      <c r="E61" s="188">
        <v>0</v>
      </c>
      <c r="F61" s="107"/>
    </row>
    <row r="62" spans="1:9" ht="15.95" customHeight="1">
      <c r="A62" s="86" t="s">
        <v>192</v>
      </c>
      <c r="B62" s="87" t="s">
        <v>279</v>
      </c>
      <c r="C62" s="342">
        <v>0</v>
      </c>
      <c r="D62" s="106">
        <f t="shared" si="9"/>
        <v>0</v>
      </c>
      <c r="E62" s="188">
        <v>0</v>
      </c>
      <c r="F62" s="107">
        <f>'Kiadások részletes COFOG'!F130</f>
        <v>0</v>
      </c>
      <c r="I62" s="69"/>
    </row>
    <row r="63" spans="1:9" ht="15.95" customHeight="1">
      <c r="A63" s="86" t="s">
        <v>198</v>
      </c>
      <c r="B63" s="87" t="s">
        <v>199</v>
      </c>
      <c r="C63" s="342">
        <v>100000</v>
      </c>
      <c r="D63" s="106">
        <f t="shared" si="9"/>
        <v>0</v>
      </c>
      <c r="E63" s="188">
        <f>F63/C63*100</f>
        <v>100</v>
      </c>
      <c r="F63" s="107">
        <f>'Kiadások részletes COFOG'!F133</f>
        <v>100000</v>
      </c>
    </row>
    <row r="64" spans="1:9" ht="15.95" customHeight="1">
      <c r="A64" s="86" t="s">
        <v>204</v>
      </c>
      <c r="B64" s="87" t="s">
        <v>205</v>
      </c>
      <c r="C64" s="342">
        <v>600000</v>
      </c>
      <c r="D64" s="106">
        <f t="shared" si="9"/>
        <v>0</v>
      </c>
      <c r="E64" s="188">
        <f>F64/C64*100</f>
        <v>100</v>
      </c>
      <c r="F64" s="107">
        <f>'Kiadások részletes COFOG'!F135</f>
        <v>600000</v>
      </c>
    </row>
    <row r="65" spans="1:6" ht="15.95" customHeight="1">
      <c r="A65" s="86" t="s">
        <v>208</v>
      </c>
      <c r="B65" s="87" t="s">
        <v>209</v>
      </c>
      <c r="C65" s="342"/>
      <c r="D65" s="106">
        <f t="shared" si="9"/>
        <v>0</v>
      </c>
      <c r="E65" s="188"/>
      <c r="F65" s="107"/>
    </row>
    <row r="66" spans="1:6" ht="20.25" customHeight="1">
      <c r="A66" s="86" t="s">
        <v>212</v>
      </c>
      <c r="B66" s="87" t="s">
        <v>270</v>
      </c>
      <c r="C66" s="342">
        <v>202500</v>
      </c>
      <c r="D66" s="106">
        <f t="shared" si="9"/>
        <v>0</v>
      </c>
      <c r="E66" s="188">
        <f>F66/C66*100</f>
        <v>100</v>
      </c>
      <c r="F66" s="107">
        <f>'Kiadások részletes COFOG'!F136</f>
        <v>202500</v>
      </c>
    </row>
    <row r="67" spans="1:6" ht="15.75" customHeight="1">
      <c r="A67" s="114" t="s">
        <v>246</v>
      </c>
      <c r="B67" s="87" t="s">
        <v>280</v>
      </c>
      <c r="C67" s="342"/>
      <c r="D67" s="106">
        <f t="shared" si="9"/>
        <v>0</v>
      </c>
      <c r="E67" s="188"/>
      <c r="F67" s="107"/>
    </row>
    <row r="68" spans="1:6" ht="21.75" customHeight="1">
      <c r="A68" s="91" t="s">
        <v>248</v>
      </c>
      <c r="B68" s="92" t="s">
        <v>275</v>
      </c>
      <c r="C68" s="407"/>
      <c r="D68" s="106">
        <f t="shared" si="9"/>
        <v>0</v>
      </c>
      <c r="E68" s="188"/>
      <c r="F68" s="96"/>
    </row>
    <row r="69" spans="1:6" ht="15" customHeight="1">
      <c r="A69" s="114" t="s">
        <v>250</v>
      </c>
      <c r="B69" s="87" t="s">
        <v>351</v>
      </c>
      <c r="C69" s="342">
        <v>0</v>
      </c>
      <c r="D69" s="106">
        <f t="shared" si="9"/>
        <v>0</v>
      </c>
      <c r="E69" s="188"/>
      <c r="F69" s="107">
        <f>'Kiadások részletes COFOG'!F139</f>
        <v>0</v>
      </c>
    </row>
    <row r="70" spans="1:6" ht="22.5" customHeight="1" thickBot="1">
      <c r="A70" s="91" t="s">
        <v>254</v>
      </c>
      <c r="B70" s="92" t="s">
        <v>276</v>
      </c>
      <c r="C70" s="407">
        <v>0</v>
      </c>
      <c r="D70" s="106">
        <f t="shared" si="9"/>
        <v>0</v>
      </c>
      <c r="E70" s="188"/>
      <c r="F70" s="96">
        <f>'Kiadások részletes COFOG'!F140</f>
        <v>0</v>
      </c>
    </row>
    <row r="71" spans="1:6" ht="27" customHeight="1" thickBot="1">
      <c r="A71" s="853" t="s">
        <v>278</v>
      </c>
      <c r="B71" s="853"/>
      <c r="C71" s="93">
        <f>SUM(C60:C70)</f>
        <v>952500</v>
      </c>
      <c r="D71" s="93">
        <f>SUM(D60:D70)</f>
        <v>0</v>
      </c>
      <c r="E71" s="302">
        <f>F71/C71*100</f>
        <v>100</v>
      </c>
      <c r="F71" s="94">
        <f>SUM(F60:F70)</f>
        <v>952500</v>
      </c>
    </row>
    <row r="72" spans="1:6" ht="26.25" customHeight="1" thickBot="1">
      <c r="A72" s="833" t="s">
        <v>281</v>
      </c>
      <c r="B72" s="833"/>
      <c r="C72" s="833"/>
      <c r="D72" s="833"/>
      <c r="E72" s="833"/>
      <c r="F72" s="833"/>
    </row>
    <row r="73" spans="1:6" ht="17.25" customHeight="1" thickBot="1">
      <c r="A73" s="856" t="s">
        <v>46</v>
      </c>
      <c r="B73" s="852" t="s">
        <v>47</v>
      </c>
      <c r="C73" s="854">
        <v>2023</v>
      </c>
      <c r="D73" s="857"/>
      <c r="E73" s="857"/>
      <c r="F73" s="858"/>
    </row>
    <row r="74" spans="1:6" ht="25.5" customHeight="1" thickBot="1">
      <c r="A74" s="856"/>
      <c r="B74" s="852"/>
      <c r="C74" s="140" t="s">
        <v>48</v>
      </c>
      <c r="D74" s="140" t="s">
        <v>508</v>
      </c>
      <c r="E74" s="140" t="s">
        <v>383</v>
      </c>
      <c r="F74" s="443" t="s">
        <v>509</v>
      </c>
    </row>
    <row r="75" spans="1:6" ht="15" customHeight="1">
      <c r="A75" s="86" t="s">
        <v>169</v>
      </c>
      <c r="B75" s="87" t="s">
        <v>170</v>
      </c>
      <c r="C75" s="342">
        <v>50000</v>
      </c>
      <c r="D75" s="106">
        <f t="shared" ref="D75:D85" si="11">F75-C75</f>
        <v>0</v>
      </c>
      <c r="E75" s="188">
        <f t="shared" ref="E75:E82" si="12">F75/C75*100</f>
        <v>100</v>
      </c>
      <c r="F75" s="107">
        <f>'Kiadások részletes COFOG'!F145</f>
        <v>50000</v>
      </c>
    </row>
    <row r="76" spans="1:6" ht="15" customHeight="1">
      <c r="A76" s="114" t="s">
        <v>186</v>
      </c>
      <c r="B76" s="87" t="s">
        <v>287</v>
      </c>
      <c r="C76" s="342">
        <v>1584000</v>
      </c>
      <c r="D76" s="106">
        <f t="shared" si="11"/>
        <v>0</v>
      </c>
      <c r="E76" s="188">
        <f t="shared" si="12"/>
        <v>100</v>
      </c>
      <c r="F76" s="107">
        <f>SUM(F77:F79)</f>
        <v>1584000</v>
      </c>
    </row>
    <row r="77" spans="1:6" ht="15" customHeight="1">
      <c r="A77" s="86" t="s">
        <v>188</v>
      </c>
      <c r="B77" s="87" t="s">
        <v>405</v>
      </c>
      <c r="C77" s="342">
        <v>480000</v>
      </c>
      <c r="D77" s="106">
        <f t="shared" si="11"/>
        <v>0</v>
      </c>
      <c r="E77" s="188">
        <f t="shared" si="12"/>
        <v>100</v>
      </c>
      <c r="F77" s="107">
        <f>'Kiadások részletes COFOG'!F146</f>
        <v>480000</v>
      </c>
    </row>
    <row r="78" spans="1:6" ht="15" customHeight="1">
      <c r="A78" s="86" t="s">
        <v>190</v>
      </c>
      <c r="B78" s="87" t="s">
        <v>406</v>
      </c>
      <c r="C78" s="342">
        <v>960000</v>
      </c>
      <c r="D78" s="106">
        <f t="shared" si="11"/>
        <v>0</v>
      </c>
      <c r="E78" s="188">
        <f t="shared" si="12"/>
        <v>100</v>
      </c>
      <c r="F78" s="107">
        <f>'Kiadások részletes COFOG'!F147</f>
        <v>960000</v>
      </c>
    </row>
    <row r="79" spans="1:6" ht="15" customHeight="1">
      <c r="A79" s="86" t="s">
        <v>192</v>
      </c>
      <c r="B79" s="87" t="s">
        <v>407</v>
      </c>
      <c r="C79" s="342">
        <v>144000</v>
      </c>
      <c r="D79" s="106">
        <f t="shared" si="11"/>
        <v>0</v>
      </c>
      <c r="E79" s="188">
        <f t="shared" si="12"/>
        <v>100</v>
      </c>
      <c r="F79" s="107">
        <f>'Kiadások részletes COFOG'!F148</f>
        <v>144000</v>
      </c>
    </row>
    <row r="80" spans="1:6" ht="15" customHeight="1">
      <c r="A80" s="86" t="s">
        <v>198</v>
      </c>
      <c r="B80" s="87" t="s">
        <v>404</v>
      </c>
      <c r="C80" s="342">
        <v>50000</v>
      </c>
      <c r="D80" s="106">
        <f t="shared" si="11"/>
        <v>150000</v>
      </c>
      <c r="E80" s="188">
        <f t="shared" si="12"/>
        <v>400</v>
      </c>
      <c r="F80" s="107">
        <f>'Kiadások részletes COFOG'!F150</f>
        <v>200000</v>
      </c>
    </row>
    <row r="81" spans="1:10" ht="15" customHeight="1">
      <c r="A81" s="102" t="s">
        <v>204</v>
      </c>
      <c r="B81" s="92" t="s">
        <v>408</v>
      </c>
      <c r="C81" s="407">
        <v>150000</v>
      </c>
      <c r="D81" s="106">
        <f t="shared" si="11"/>
        <v>0</v>
      </c>
      <c r="E81" s="188">
        <f t="shared" si="12"/>
        <v>100</v>
      </c>
      <c r="F81" s="96">
        <f>'Kiadások részletes COFOG'!F151</f>
        <v>150000</v>
      </c>
    </row>
    <row r="82" spans="1:10" ht="20.25" customHeight="1">
      <c r="A82" s="102" t="s">
        <v>212</v>
      </c>
      <c r="B82" s="92" t="s">
        <v>270</v>
      </c>
      <c r="C82" s="407">
        <v>100440</v>
      </c>
      <c r="D82" s="106">
        <f t="shared" si="11"/>
        <v>399560</v>
      </c>
      <c r="E82" s="188">
        <f t="shared" si="12"/>
        <v>497.80963759458376</v>
      </c>
      <c r="F82" s="96">
        <f>'Kiadások részletes COFOG'!F152</f>
        <v>500000</v>
      </c>
      <c r="I82" s="870"/>
      <c r="J82" s="870"/>
    </row>
    <row r="83" spans="1:10" ht="20.25" customHeight="1">
      <c r="A83" s="114" t="s">
        <v>242</v>
      </c>
      <c r="B83" s="87" t="s">
        <v>536</v>
      </c>
      <c r="C83" s="342">
        <v>0</v>
      </c>
      <c r="D83" s="106">
        <f t="shared" si="11"/>
        <v>0</v>
      </c>
      <c r="E83" s="188">
        <v>0</v>
      </c>
      <c r="F83" s="107">
        <f>'Kiadások részletes COFOG'!F153</f>
        <v>0</v>
      </c>
      <c r="G83" s="222"/>
      <c r="I83" s="151"/>
      <c r="J83" s="151"/>
    </row>
    <row r="84" spans="1:10" ht="20.25" customHeight="1">
      <c r="A84" s="91" t="s">
        <v>250</v>
      </c>
      <c r="B84" s="92" t="s">
        <v>538</v>
      </c>
      <c r="C84" s="407">
        <v>0</v>
      </c>
      <c r="D84" s="106">
        <f t="shared" si="11"/>
        <v>0</v>
      </c>
      <c r="E84" s="188">
        <v>0</v>
      </c>
      <c r="F84" s="96">
        <f>'Kiadások részletes COFOG'!F154</f>
        <v>0</v>
      </c>
      <c r="G84" s="222"/>
      <c r="I84" s="151"/>
      <c r="J84" s="151"/>
    </row>
    <row r="85" spans="1:10" ht="20.25" customHeight="1" thickBot="1">
      <c r="A85" s="91" t="s">
        <v>254</v>
      </c>
      <c r="B85" s="92" t="s">
        <v>276</v>
      </c>
      <c r="C85" s="407">
        <v>0</v>
      </c>
      <c r="D85" s="106">
        <f t="shared" si="11"/>
        <v>0</v>
      </c>
      <c r="E85" s="188">
        <v>0</v>
      </c>
      <c r="F85" s="96">
        <f>'Kiadások részletes COFOG'!F155</f>
        <v>0</v>
      </c>
      <c r="I85" s="151"/>
      <c r="J85" s="151"/>
    </row>
    <row r="86" spans="1:10" ht="19.5" customHeight="1" thickBot="1">
      <c r="A86" s="853" t="s">
        <v>278</v>
      </c>
      <c r="B86" s="853"/>
      <c r="C86" s="93">
        <f>SUM(C75,C77:C85)</f>
        <v>1934440</v>
      </c>
      <c r="D86" s="93">
        <f>SUM(D75,D77:D85)</f>
        <v>549560</v>
      </c>
      <c r="E86" s="302">
        <f>F86/C86*100</f>
        <v>128.40925539174128</v>
      </c>
      <c r="F86" s="94">
        <f>SUM(F76+F80+F81+F82+F75+F84+F85)</f>
        <v>2484000</v>
      </c>
    </row>
    <row r="87" spans="1:10" ht="24" customHeight="1" thickBot="1">
      <c r="A87" s="833" t="s">
        <v>282</v>
      </c>
      <c r="B87" s="833"/>
      <c r="C87" s="833"/>
      <c r="D87" s="833"/>
      <c r="E87" s="833"/>
      <c r="F87" s="833"/>
    </row>
    <row r="88" spans="1:10" ht="22.5" customHeight="1" thickBot="1">
      <c r="A88" s="856" t="s">
        <v>46</v>
      </c>
      <c r="B88" s="852" t="s">
        <v>47</v>
      </c>
      <c r="C88" s="854">
        <v>2023</v>
      </c>
      <c r="D88" s="857"/>
      <c r="E88" s="857"/>
      <c r="F88" s="858"/>
    </row>
    <row r="89" spans="1:10" ht="22.5" customHeight="1" thickBot="1">
      <c r="A89" s="856"/>
      <c r="B89" s="852"/>
      <c r="C89" s="140" t="s">
        <v>48</v>
      </c>
      <c r="D89" s="140" t="s">
        <v>508</v>
      </c>
      <c r="E89" s="140" t="s">
        <v>383</v>
      </c>
      <c r="F89" s="443" t="s">
        <v>509</v>
      </c>
    </row>
    <row r="90" spans="1:10" ht="15.95" customHeight="1">
      <c r="A90" s="86" t="s">
        <v>155</v>
      </c>
      <c r="B90" s="87" t="s">
        <v>156</v>
      </c>
      <c r="C90" s="342">
        <v>300000</v>
      </c>
      <c r="D90" s="106">
        <f t="shared" ref="D90:D97" si="13">F90-C90</f>
        <v>0</v>
      </c>
      <c r="E90" s="188">
        <f>F90/C90*100</f>
        <v>100</v>
      </c>
      <c r="F90" s="107">
        <f>'Kiadások részletes COFOG'!F160</f>
        <v>300000</v>
      </c>
    </row>
    <row r="91" spans="1:10" ht="15.95" customHeight="1">
      <c r="A91" s="114" t="s">
        <v>313</v>
      </c>
      <c r="B91" s="87" t="s">
        <v>628</v>
      </c>
      <c r="C91" s="342">
        <v>120000</v>
      </c>
      <c r="D91" s="106">
        <f t="shared" si="13"/>
        <v>0</v>
      </c>
      <c r="E91" s="188">
        <v>0</v>
      </c>
      <c r="F91" s="107">
        <f>SUM('Kiadások részletes COFOG'!F161)</f>
        <v>120000</v>
      </c>
    </row>
    <row r="92" spans="1:10" ht="15.95" customHeight="1">
      <c r="A92" s="86" t="s">
        <v>169</v>
      </c>
      <c r="B92" s="87" t="s">
        <v>170</v>
      </c>
      <c r="C92" s="342">
        <v>1500000</v>
      </c>
      <c r="D92" s="106">
        <f t="shared" si="13"/>
        <v>0</v>
      </c>
      <c r="E92" s="188">
        <f>F92/C92*100</f>
        <v>100</v>
      </c>
      <c r="F92" s="107">
        <f>'Kiadások részletes COFOG'!F164</f>
        <v>1500000</v>
      </c>
    </row>
    <row r="93" spans="1:10" ht="15.95" customHeight="1">
      <c r="A93" s="114" t="s">
        <v>194</v>
      </c>
      <c r="B93" s="87" t="s">
        <v>195</v>
      </c>
      <c r="C93" s="342">
        <v>0</v>
      </c>
      <c r="D93" s="106">
        <f t="shared" si="13"/>
        <v>0</v>
      </c>
      <c r="E93" s="188">
        <v>0</v>
      </c>
      <c r="F93" s="107">
        <v>0</v>
      </c>
    </row>
    <row r="94" spans="1:10" ht="15.95" customHeight="1">
      <c r="A94" s="114" t="s">
        <v>196</v>
      </c>
      <c r="B94" s="87" t="s">
        <v>197</v>
      </c>
      <c r="C94" s="342">
        <v>0</v>
      </c>
      <c r="D94" s="106">
        <f t="shared" si="13"/>
        <v>490000</v>
      </c>
      <c r="E94" s="188">
        <v>0</v>
      </c>
      <c r="F94" s="107">
        <f>SUM('Kiadások részletes COFOG'!F165)</f>
        <v>490000</v>
      </c>
    </row>
    <row r="95" spans="1:10" ht="15.95" customHeight="1">
      <c r="A95" s="114" t="s">
        <v>204</v>
      </c>
      <c r="B95" s="87" t="s">
        <v>205</v>
      </c>
      <c r="C95" s="342">
        <v>1800000</v>
      </c>
      <c r="D95" s="106">
        <f t="shared" si="13"/>
        <v>-490000</v>
      </c>
      <c r="E95" s="188">
        <f>F95/C95*100</f>
        <v>72.777777777777771</v>
      </c>
      <c r="F95" s="107">
        <f>'Kiadások részletes COFOG'!F167</f>
        <v>1310000</v>
      </c>
    </row>
    <row r="96" spans="1:10" ht="15.95" customHeight="1">
      <c r="A96" s="114" t="s">
        <v>291</v>
      </c>
      <c r="B96" s="87" t="s">
        <v>292</v>
      </c>
      <c r="C96" s="342">
        <v>0</v>
      </c>
      <c r="D96" s="106">
        <f t="shared" si="13"/>
        <v>0</v>
      </c>
      <c r="E96" s="188">
        <v>0</v>
      </c>
      <c r="F96" s="107">
        <f>'Kiadások részletes COFOG'!F168</f>
        <v>0</v>
      </c>
    </row>
    <row r="97" spans="1:15" ht="23.25" customHeight="1" thickBot="1">
      <c r="A97" s="91" t="s">
        <v>212</v>
      </c>
      <c r="B97" s="92" t="s">
        <v>270</v>
      </c>
      <c r="C97" s="407">
        <v>972000</v>
      </c>
      <c r="D97" s="106">
        <f t="shared" si="13"/>
        <v>0</v>
      </c>
      <c r="E97" s="188">
        <f>F97/C97*100</f>
        <v>100</v>
      </c>
      <c r="F97" s="96">
        <f>'Kiadások részletes COFOG'!F169</f>
        <v>972000</v>
      </c>
    </row>
    <row r="98" spans="1:15" ht="19.5" customHeight="1" thickBot="1">
      <c r="A98" s="853" t="s">
        <v>278</v>
      </c>
      <c r="B98" s="853"/>
      <c r="C98" s="93">
        <f>SUM(C90:C97)</f>
        <v>4692000</v>
      </c>
      <c r="D98" s="93">
        <f>SUM(D90:D97)</f>
        <v>0</v>
      </c>
      <c r="E98" s="302">
        <f>F98/C98*100</f>
        <v>100</v>
      </c>
      <c r="F98" s="94">
        <f>SUM(F90:F97)</f>
        <v>4692000</v>
      </c>
    </row>
    <row r="99" spans="1:15" ht="25.5" customHeight="1" thickBot="1">
      <c r="A99" s="863" t="s">
        <v>121</v>
      </c>
      <c r="B99" s="864"/>
      <c r="C99" s="864"/>
      <c r="D99" s="864"/>
      <c r="E99" s="864"/>
      <c r="F99" s="866"/>
    </row>
    <row r="100" spans="1:15" ht="22.5" customHeight="1" thickBot="1">
      <c r="A100" s="856" t="s">
        <v>46</v>
      </c>
      <c r="B100" s="852" t="s">
        <v>47</v>
      </c>
      <c r="C100" s="854">
        <v>2023</v>
      </c>
      <c r="D100" s="857"/>
      <c r="E100" s="857"/>
      <c r="F100" s="858"/>
    </row>
    <row r="101" spans="1:15" ht="24" customHeight="1" thickBot="1">
      <c r="A101" s="856"/>
      <c r="B101" s="852"/>
      <c r="C101" s="140" t="s">
        <v>48</v>
      </c>
      <c r="D101" s="140" t="s">
        <v>508</v>
      </c>
      <c r="E101" s="140" t="s">
        <v>383</v>
      </c>
      <c r="F101" s="443" t="s">
        <v>509</v>
      </c>
    </row>
    <row r="102" spans="1:15" ht="24" customHeight="1">
      <c r="A102" s="152" t="s">
        <v>231</v>
      </c>
      <c r="B102" s="153" t="s">
        <v>283</v>
      </c>
      <c r="C102" s="267">
        <v>0</v>
      </c>
      <c r="D102" s="154">
        <f>F102-C102</f>
        <v>0</v>
      </c>
      <c r="E102" s="303">
        <v>0</v>
      </c>
      <c r="F102" s="155">
        <f>'Kiadások részletes COFOG'!F174</f>
        <v>0</v>
      </c>
    </row>
    <row r="103" spans="1:15" ht="30" customHeight="1" thickBot="1">
      <c r="A103" s="102" t="s">
        <v>41</v>
      </c>
      <c r="B103" s="92" t="s">
        <v>258</v>
      </c>
      <c r="C103" s="95">
        <v>9750886</v>
      </c>
      <c r="D103" s="154">
        <f>F103-C103</f>
        <v>0</v>
      </c>
      <c r="E103" s="303">
        <f>F103/C103*100</f>
        <v>100</v>
      </c>
      <c r="F103" s="156">
        <f>SUM('Kiadások részletes COFOG'!F175)</f>
        <v>9750886</v>
      </c>
    </row>
    <row r="104" spans="1:15" ht="22.5" customHeight="1" thickBot="1">
      <c r="A104" s="853" t="s">
        <v>278</v>
      </c>
      <c r="B104" s="853"/>
      <c r="C104" s="93">
        <f>SUM(C102:C103)</f>
        <v>9750886</v>
      </c>
      <c r="D104" s="93">
        <f>SUM(D102:D103)</f>
        <v>0</v>
      </c>
      <c r="E104" s="302">
        <f>F104/C104*100</f>
        <v>100</v>
      </c>
      <c r="F104" s="94">
        <f>SUM(F102:F103)</f>
        <v>9750886</v>
      </c>
    </row>
    <row r="105" spans="1:15" ht="23.25" customHeight="1" thickBot="1">
      <c r="A105" s="833" t="s">
        <v>132</v>
      </c>
      <c r="B105" s="833"/>
      <c r="C105" s="833"/>
      <c r="D105" s="833"/>
      <c r="E105" s="833"/>
      <c r="F105" s="833"/>
    </row>
    <row r="106" spans="1:15" ht="19.5" customHeight="1">
      <c r="A106" s="867" t="s">
        <v>46</v>
      </c>
      <c r="B106" s="868" t="s">
        <v>47</v>
      </c>
      <c r="C106" s="854">
        <v>2023</v>
      </c>
      <c r="D106" s="857"/>
      <c r="E106" s="857"/>
      <c r="F106" s="858"/>
    </row>
    <row r="107" spans="1:15" ht="22.5" customHeight="1" thickBot="1">
      <c r="A107" s="877"/>
      <c r="B107" s="878"/>
      <c r="C107" s="140" t="s">
        <v>48</v>
      </c>
      <c r="D107" s="140" t="s">
        <v>508</v>
      </c>
      <c r="E107" s="140" t="s">
        <v>383</v>
      </c>
      <c r="F107" s="443" t="s">
        <v>509</v>
      </c>
    </row>
    <row r="108" spans="1:15" ht="22.5" customHeight="1">
      <c r="A108" s="363" t="s">
        <v>230</v>
      </c>
      <c r="B108" s="435" t="s">
        <v>507</v>
      </c>
      <c r="C108" s="407">
        <v>14550000</v>
      </c>
      <c r="D108" s="95">
        <f>F108-C108</f>
        <v>48529410</v>
      </c>
      <c r="E108" s="437">
        <f>F108/C108*100</f>
        <v>433.5354639175257</v>
      </c>
      <c r="F108" s="334">
        <f>'Kiadások részletes COFOG'!F182+'Kiadások részletes COFOG'!F184+'Kiadások részletes COFOG'!F180</f>
        <v>63079410</v>
      </c>
    </row>
    <row r="109" spans="1:15" ht="23.25" customHeight="1" thickBot="1">
      <c r="A109" s="102" t="s">
        <v>259</v>
      </c>
      <c r="B109" s="92" t="s">
        <v>260</v>
      </c>
      <c r="C109" s="407">
        <v>221309261</v>
      </c>
      <c r="D109" s="95">
        <f>F109-C109</f>
        <v>6977932</v>
      </c>
      <c r="E109" s="437">
        <f>F109/C109*100</f>
        <v>103.15302304497777</v>
      </c>
      <c r="F109" s="96">
        <f>SUM('Kiadások részletes COFOG'!F185)</f>
        <v>228287193</v>
      </c>
      <c r="G109" s="157"/>
      <c r="H109" s="149"/>
      <c r="I109" s="39"/>
      <c r="J109" s="39"/>
      <c r="K109" s="39"/>
      <c r="L109" s="39"/>
      <c r="M109" s="39"/>
      <c r="N109" s="39"/>
      <c r="O109" s="39"/>
    </row>
    <row r="110" spans="1:15" ht="21" customHeight="1" thickBot="1">
      <c r="A110" s="879" t="s">
        <v>278</v>
      </c>
      <c r="B110" s="879"/>
      <c r="C110" s="420">
        <f>SUM(C108:C109)</f>
        <v>235859261</v>
      </c>
      <c r="D110" s="158">
        <f>SUM(D108:D109)</f>
        <v>55507342</v>
      </c>
      <c r="E110" s="438">
        <f>F110/C110*100</f>
        <v>123.534094766794</v>
      </c>
      <c r="F110" s="159">
        <f>SUM(F108:F109)</f>
        <v>291366603</v>
      </c>
      <c r="G110" s="147"/>
    </row>
    <row r="111" spans="1:15" ht="25.5" customHeight="1" thickBot="1">
      <c r="A111" s="833" t="s">
        <v>413</v>
      </c>
      <c r="B111" s="833"/>
      <c r="C111" s="833"/>
      <c r="D111" s="833"/>
      <c r="E111" s="833"/>
      <c r="F111" s="833"/>
    </row>
    <row r="112" spans="1:15" ht="21.75" customHeight="1">
      <c r="A112" s="856" t="s">
        <v>46</v>
      </c>
      <c r="B112" s="852" t="s">
        <v>47</v>
      </c>
      <c r="C112" s="854">
        <v>2023</v>
      </c>
      <c r="D112" s="857"/>
      <c r="E112" s="857"/>
      <c r="F112" s="858"/>
    </row>
    <row r="113" spans="1:6" ht="23.25" customHeight="1" thickBot="1">
      <c r="A113" s="877"/>
      <c r="B113" s="878"/>
      <c r="C113" s="140" t="s">
        <v>48</v>
      </c>
      <c r="D113" s="140" t="s">
        <v>508</v>
      </c>
      <c r="E113" s="140" t="s">
        <v>383</v>
      </c>
      <c r="F113" s="443" t="s">
        <v>509</v>
      </c>
    </row>
    <row r="114" spans="1:6" ht="15" customHeight="1">
      <c r="A114" s="141" t="s">
        <v>143</v>
      </c>
      <c r="B114" s="142" t="s">
        <v>414</v>
      </c>
      <c r="C114" s="143">
        <v>3904350</v>
      </c>
      <c r="D114" s="143">
        <f t="shared" ref="D114:D119" si="14">F114-C114</f>
        <v>-866750</v>
      </c>
      <c r="E114" s="301">
        <f t="shared" ref="E114:E120" si="15">F114/C114*100</f>
        <v>77.800402115589023</v>
      </c>
      <c r="F114" s="727">
        <f>'Kiadások részletes COFOG'!F201</f>
        <v>3037600</v>
      </c>
    </row>
    <row r="115" spans="1:6" ht="15" customHeight="1">
      <c r="A115" s="114" t="s">
        <v>157</v>
      </c>
      <c r="B115" s="87" t="s">
        <v>158</v>
      </c>
      <c r="C115" s="106">
        <v>270000</v>
      </c>
      <c r="D115" s="106">
        <f t="shared" si="14"/>
        <v>-70000</v>
      </c>
      <c r="E115" s="188">
        <f t="shared" si="15"/>
        <v>74.074074074074076</v>
      </c>
      <c r="F115" s="160">
        <f>'Kiadások részletes COFOG'!F206</f>
        <v>200000</v>
      </c>
    </row>
    <row r="116" spans="1:6" ht="15" customHeight="1">
      <c r="A116" s="114" t="s">
        <v>169</v>
      </c>
      <c r="B116" s="87" t="s">
        <v>170</v>
      </c>
      <c r="C116" s="106">
        <v>0</v>
      </c>
      <c r="D116" s="106">
        <f t="shared" si="14"/>
        <v>0</v>
      </c>
      <c r="E116" s="188">
        <v>0</v>
      </c>
      <c r="F116" s="160">
        <f>'Kiadások részletes COFOG'!F208</f>
        <v>0</v>
      </c>
    </row>
    <row r="117" spans="1:6" ht="21.75" customHeight="1">
      <c r="A117" s="114" t="s">
        <v>212</v>
      </c>
      <c r="B117" s="87" t="s">
        <v>270</v>
      </c>
      <c r="C117" s="106">
        <v>0</v>
      </c>
      <c r="D117" s="106">
        <f t="shared" si="14"/>
        <v>0</v>
      </c>
      <c r="E117" s="188">
        <v>0</v>
      </c>
      <c r="F117" s="160">
        <f>'Kiadások részletes COFOG'!F209</f>
        <v>0</v>
      </c>
    </row>
    <row r="118" spans="1:6" ht="21.75" customHeight="1">
      <c r="A118" s="114" t="s">
        <v>246</v>
      </c>
      <c r="B118" s="87" t="s">
        <v>247</v>
      </c>
      <c r="C118" s="106">
        <v>0</v>
      </c>
      <c r="D118" s="106">
        <f t="shared" si="14"/>
        <v>0</v>
      </c>
      <c r="E118" s="188">
        <v>0</v>
      </c>
      <c r="F118" s="160">
        <f>'Kiadások részletes COFOG'!F210</f>
        <v>0</v>
      </c>
    </row>
    <row r="119" spans="1:6" ht="22.5" customHeight="1" thickBot="1">
      <c r="A119" s="91" t="s">
        <v>248</v>
      </c>
      <c r="B119" s="92" t="s">
        <v>275</v>
      </c>
      <c r="C119" s="106">
        <v>0</v>
      </c>
      <c r="D119" s="106">
        <f t="shared" si="14"/>
        <v>0</v>
      </c>
      <c r="E119" s="188">
        <v>0</v>
      </c>
      <c r="F119" s="161">
        <f>'Kiadások részletes COFOG'!F211</f>
        <v>0</v>
      </c>
    </row>
    <row r="120" spans="1:6" ht="20.25" customHeight="1" thickBot="1">
      <c r="A120" s="865" t="s">
        <v>278</v>
      </c>
      <c r="B120" s="865"/>
      <c r="C120" s="323">
        <f>SUM(C114:C119)</f>
        <v>4174350</v>
      </c>
      <c r="D120" s="323">
        <f>SUM(D114:D119)</f>
        <v>-936750</v>
      </c>
      <c r="E120" s="324">
        <f t="shared" si="15"/>
        <v>77.559380502353662</v>
      </c>
      <c r="F120" s="325">
        <f>SUM(F114:F119)</f>
        <v>3237600</v>
      </c>
    </row>
    <row r="121" spans="1:6" ht="20.25" hidden="1" customHeight="1" thickBot="1">
      <c r="A121" s="833" t="s">
        <v>415</v>
      </c>
      <c r="B121" s="833"/>
      <c r="C121" s="833"/>
      <c r="D121" s="833"/>
      <c r="E121" s="833"/>
      <c r="F121" s="833"/>
    </row>
    <row r="122" spans="1:6" ht="20.25" hidden="1" customHeight="1">
      <c r="A122" s="867" t="s">
        <v>46</v>
      </c>
      <c r="B122" s="868" t="s">
        <v>47</v>
      </c>
      <c r="C122" s="854">
        <v>2021</v>
      </c>
      <c r="D122" s="855"/>
      <c r="E122" s="855"/>
      <c r="F122" s="444">
        <v>2022</v>
      </c>
    </row>
    <row r="123" spans="1:6" ht="20.25" hidden="1" customHeight="1" thickBot="1">
      <c r="A123" s="867"/>
      <c r="B123" s="868"/>
      <c r="C123" s="140" t="s">
        <v>48</v>
      </c>
      <c r="D123" s="140" t="s">
        <v>508</v>
      </c>
      <c r="E123" s="140" t="s">
        <v>383</v>
      </c>
      <c r="F123" s="443" t="s">
        <v>509</v>
      </c>
    </row>
    <row r="124" spans="1:6" ht="20.25" hidden="1" customHeight="1">
      <c r="A124" s="86" t="s">
        <v>143</v>
      </c>
      <c r="B124" s="87" t="s">
        <v>414</v>
      </c>
      <c r="C124" s="106"/>
      <c r="D124" s="106"/>
      <c r="E124" s="188"/>
      <c r="F124" s="160"/>
    </row>
    <row r="125" spans="1:6" ht="20.25" hidden="1" customHeight="1">
      <c r="A125" s="114" t="s">
        <v>149</v>
      </c>
      <c r="B125" s="87" t="s">
        <v>150</v>
      </c>
      <c r="C125" s="106"/>
      <c r="D125" s="106"/>
      <c r="E125" s="188"/>
      <c r="F125" s="160"/>
    </row>
    <row r="126" spans="1:6" ht="20.25" hidden="1" customHeight="1">
      <c r="A126" s="114" t="s">
        <v>157</v>
      </c>
      <c r="B126" s="87" t="s">
        <v>158</v>
      </c>
      <c r="C126" s="106"/>
      <c r="D126" s="106"/>
      <c r="E126" s="188"/>
      <c r="F126" s="160"/>
    </row>
    <row r="127" spans="1:6" ht="20.25" hidden="1" customHeight="1">
      <c r="A127" s="114" t="s">
        <v>169</v>
      </c>
      <c r="B127" s="87" t="s">
        <v>170</v>
      </c>
      <c r="C127" s="106"/>
      <c r="D127" s="106"/>
      <c r="E127" s="188"/>
      <c r="F127" s="160"/>
    </row>
    <row r="128" spans="1:6" ht="20.25" hidden="1" customHeight="1" thickBot="1">
      <c r="A128" s="114" t="s">
        <v>212</v>
      </c>
      <c r="B128" s="87" t="s">
        <v>270</v>
      </c>
      <c r="C128" s="106"/>
      <c r="D128" s="106"/>
      <c r="E128" s="188"/>
      <c r="F128" s="160"/>
    </row>
    <row r="129" spans="1:15" ht="20.25" hidden="1" customHeight="1" thickBot="1">
      <c r="A129" s="865" t="s">
        <v>278</v>
      </c>
      <c r="B129" s="865"/>
      <c r="C129" s="323"/>
      <c r="D129" s="323"/>
      <c r="E129" s="324"/>
      <c r="F129" s="325"/>
    </row>
    <row r="130" spans="1:15" ht="24" customHeight="1" thickBot="1">
      <c r="A130" s="833" t="s">
        <v>284</v>
      </c>
      <c r="B130" s="833"/>
      <c r="C130" s="833"/>
      <c r="D130" s="833"/>
      <c r="E130" s="833"/>
      <c r="F130" s="833"/>
    </row>
    <row r="131" spans="1:15" ht="23.25" customHeight="1">
      <c r="A131" s="867" t="s">
        <v>46</v>
      </c>
      <c r="B131" s="868" t="s">
        <v>47</v>
      </c>
      <c r="C131" s="854">
        <v>2023</v>
      </c>
      <c r="D131" s="857"/>
      <c r="E131" s="857"/>
      <c r="F131" s="858"/>
    </row>
    <row r="132" spans="1:15" ht="25.5" customHeight="1" thickBot="1">
      <c r="A132" s="867"/>
      <c r="B132" s="868"/>
      <c r="C132" s="140" t="s">
        <v>48</v>
      </c>
      <c r="D132" s="140" t="s">
        <v>508</v>
      </c>
      <c r="E132" s="140" t="s">
        <v>383</v>
      </c>
      <c r="F132" s="443" t="s">
        <v>509</v>
      </c>
    </row>
    <row r="133" spans="1:15" ht="15" customHeight="1">
      <c r="A133" s="86" t="s">
        <v>169</v>
      </c>
      <c r="B133" s="87" t="s">
        <v>170</v>
      </c>
      <c r="C133" s="106">
        <v>700000</v>
      </c>
      <c r="D133" s="106">
        <f t="shared" ref="D133:D139" si="16">F133-C133</f>
        <v>0</v>
      </c>
      <c r="E133" s="188">
        <f>F133/C133*100</f>
        <v>100</v>
      </c>
      <c r="F133" s="107">
        <f>'Kiadások részletes COFOG'!F226</f>
        <v>700000</v>
      </c>
    </row>
    <row r="134" spans="1:15" ht="15" customHeight="1">
      <c r="A134" s="86" t="s">
        <v>198</v>
      </c>
      <c r="B134" s="87" t="s">
        <v>199</v>
      </c>
      <c r="C134" s="106">
        <v>1830000</v>
      </c>
      <c r="D134" s="106">
        <f t="shared" si="16"/>
        <v>0</v>
      </c>
      <c r="E134" s="188">
        <f>F134/C134*100</f>
        <v>100</v>
      </c>
      <c r="F134" s="107">
        <f>'Kiadások részletes COFOG'!F230</f>
        <v>1830000</v>
      </c>
    </row>
    <row r="135" spans="1:15" ht="15" customHeight="1">
      <c r="A135" s="86" t="s">
        <v>204</v>
      </c>
      <c r="B135" s="87" t="s">
        <v>205</v>
      </c>
      <c r="C135" s="106">
        <v>3000000</v>
      </c>
      <c r="D135" s="106">
        <f t="shared" si="16"/>
        <v>0</v>
      </c>
      <c r="E135" s="188">
        <f>F135/C135*100</f>
        <v>100</v>
      </c>
      <c r="F135" s="107">
        <f>'Kiadások részletes COFOG'!F231</f>
        <v>3000000</v>
      </c>
    </row>
    <row r="136" spans="1:15" ht="15" customHeight="1">
      <c r="A136" s="86" t="s">
        <v>208</v>
      </c>
      <c r="B136" s="87" t="s">
        <v>209</v>
      </c>
      <c r="C136" s="106">
        <v>0</v>
      </c>
      <c r="D136" s="106">
        <f t="shared" si="16"/>
        <v>0</v>
      </c>
      <c r="E136" s="188">
        <v>0</v>
      </c>
      <c r="F136" s="107">
        <v>0</v>
      </c>
    </row>
    <row r="137" spans="1:15" ht="21">
      <c r="A137" s="86" t="s">
        <v>212</v>
      </c>
      <c r="B137" s="87" t="s">
        <v>270</v>
      </c>
      <c r="C137" s="106">
        <v>1500000</v>
      </c>
      <c r="D137" s="106">
        <f t="shared" si="16"/>
        <v>0</v>
      </c>
      <c r="E137" s="188">
        <f>F137/C137*100</f>
        <v>100</v>
      </c>
      <c r="F137" s="107">
        <f>'Kiadások részletes COFOG'!F234</f>
        <v>1500000</v>
      </c>
    </row>
    <row r="138" spans="1:15" ht="15" customHeight="1">
      <c r="A138" s="86" t="s">
        <v>250</v>
      </c>
      <c r="B138" s="87" t="s">
        <v>251</v>
      </c>
      <c r="C138" s="106">
        <v>0</v>
      </c>
      <c r="D138" s="106">
        <f t="shared" si="16"/>
        <v>0</v>
      </c>
      <c r="E138" s="188">
        <v>0</v>
      </c>
      <c r="F138" s="107">
        <f>'Kiadások részletes COFOG'!F236</f>
        <v>0</v>
      </c>
      <c r="I138" s="869"/>
      <c r="J138" s="869"/>
      <c r="L138" s="146"/>
    </row>
    <row r="139" spans="1:15" ht="21.75" thickBot="1">
      <c r="A139" s="102" t="s">
        <v>254</v>
      </c>
      <c r="B139" s="92" t="s">
        <v>276</v>
      </c>
      <c r="C139" s="95">
        <v>0</v>
      </c>
      <c r="D139" s="106">
        <f t="shared" si="16"/>
        <v>0</v>
      </c>
      <c r="E139" s="188">
        <v>0</v>
      </c>
      <c r="F139" s="96">
        <f>'Kiadások részletes COFOG'!F237</f>
        <v>0</v>
      </c>
    </row>
    <row r="140" spans="1:15" ht="21" customHeight="1" thickBot="1">
      <c r="A140" s="853" t="s">
        <v>278</v>
      </c>
      <c r="B140" s="853"/>
      <c r="C140" s="93">
        <f>SUM(C133:C139)</f>
        <v>7030000</v>
      </c>
      <c r="D140" s="93">
        <f>SUM(D133:D139)</f>
        <v>0</v>
      </c>
      <c r="E140" s="302">
        <f>F140/C140*100</f>
        <v>100</v>
      </c>
      <c r="F140" s="94">
        <f>SUM(F133:F139)</f>
        <v>7030000</v>
      </c>
      <c r="M140" s="39"/>
      <c r="N140" s="39"/>
    </row>
    <row r="141" spans="1:15" ht="30" customHeight="1" thickBot="1">
      <c r="A141" s="833" t="s">
        <v>133</v>
      </c>
      <c r="B141" s="833"/>
      <c r="C141" s="833"/>
      <c r="D141" s="833"/>
      <c r="E141" s="833"/>
      <c r="F141" s="833"/>
    </row>
    <row r="142" spans="1:15" ht="18" customHeight="1">
      <c r="A142" s="867" t="s">
        <v>46</v>
      </c>
      <c r="B142" s="868" t="s">
        <v>47</v>
      </c>
      <c r="C142" s="854">
        <v>2023</v>
      </c>
      <c r="D142" s="857"/>
      <c r="E142" s="857"/>
      <c r="F142" s="858"/>
      <c r="L142" s="39"/>
      <c r="M142" s="39"/>
      <c r="N142" s="39"/>
      <c r="O142" s="39"/>
    </row>
    <row r="143" spans="1:15" ht="24.75" customHeight="1" thickBot="1">
      <c r="A143" s="867"/>
      <c r="B143" s="868"/>
      <c r="C143" s="140" t="s">
        <v>48</v>
      </c>
      <c r="D143" s="140" t="s">
        <v>508</v>
      </c>
      <c r="E143" s="140" t="s">
        <v>383</v>
      </c>
      <c r="F143" s="443" t="s">
        <v>509</v>
      </c>
    </row>
    <row r="144" spans="1:15" ht="12.75" customHeight="1">
      <c r="A144" s="86" t="s">
        <v>192</v>
      </c>
      <c r="B144" s="87" t="s">
        <v>279</v>
      </c>
      <c r="C144" s="342">
        <v>0</v>
      </c>
      <c r="D144" s="106">
        <f>F144-C144</f>
        <v>0</v>
      </c>
      <c r="E144" s="188"/>
      <c r="F144" s="162">
        <v>0</v>
      </c>
    </row>
    <row r="145" spans="1:6" ht="12.75" customHeight="1">
      <c r="A145" s="86" t="s">
        <v>198</v>
      </c>
      <c r="B145" s="87" t="s">
        <v>199</v>
      </c>
      <c r="C145" s="342"/>
      <c r="D145" s="106">
        <f>F145-C145</f>
        <v>0</v>
      </c>
      <c r="E145" s="188"/>
      <c r="F145" s="162">
        <v>0</v>
      </c>
    </row>
    <row r="146" spans="1:6" ht="12.75" customHeight="1">
      <c r="A146" s="86" t="s">
        <v>252</v>
      </c>
      <c r="B146" s="87" t="s">
        <v>253</v>
      </c>
      <c r="C146" s="342">
        <v>7000000</v>
      </c>
      <c r="D146" s="106">
        <f>F146-C146</f>
        <v>0</v>
      </c>
      <c r="E146" s="188">
        <v>0</v>
      </c>
      <c r="F146" s="160">
        <f>'Kiadások részletes COFOG'!F244</f>
        <v>7000000</v>
      </c>
    </row>
    <row r="147" spans="1:6" ht="21.75" customHeight="1" thickBot="1">
      <c r="A147" s="102" t="s">
        <v>254</v>
      </c>
      <c r="B147" s="92" t="s">
        <v>276</v>
      </c>
      <c r="C147" s="407">
        <v>1890000</v>
      </c>
      <c r="D147" s="106">
        <f>F147-C147</f>
        <v>0</v>
      </c>
      <c r="E147" s="188">
        <f>F147/C147*100</f>
        <v>100</v>
      </c>
      <c r="F147" s="161">
        <f>'Kiadások részletes COFOG'!F245</f>
        <v>1890000</v>
      </c>
    </row>
    <row r="148" spans="1:6" ht="21" customHeight="1" thickBot="1">
      <c r="A148" s="853" t="s">
        <v>278</v>
      </c>
      <c r="B148" s="853"/>
      <c r="C148" s="413">
        <f>SUM(C146:C147)</f>
        <v>8890000</v>
      </c>
      <c r="D148" s="93">
        <f>SUM(D144:D147)</f>
        <v>0</v>
      </c>
      <c r="E148" s="302">
        <f>F148/C148*100</f>
        <v>100</v>
      </c>
      <c r="F148" s="163">
        <f>SUM(F144:F147)</f>
        <v>8890000</v>
      </c>
    </row>
    <row r="149" spans="1:6" ht="21" customHeight="1" thickBot="1">
      <c r="A149" s="833" t="s">
        <v>500</v>
      </c>
      <c r="B149" s="833"/>
      <c r="C149" s="833"/>
      <c r="D149" s="833"/>
      <c r="E149" s="833"/>
      <c r="F149" s="833"/>
    </row>
    <row r="150" spans="1:6" ht="21" customHeight="1">
      <c r="A150" s="867" t="s">
        <v>46</v>
      </c>
      <c r="B150" s="868" t="s">
        <v>47</v>
      </c>
      <c r="C150" s="854">
        <v>2023</v>
      </c>
      <c r="D150" s="857"/>
      <c r="E150" s="857"/>
      <c r="F150" s="858"/>
    </row>
    <row r="151" spans="1:6" ht="21" customHeight="1" thickBot="1">
      <c r="A151" s="867"/>
      <c r="B151" s="868"/>
      <c r="C151" s="140" t="s">
        <v>48</v>
      </c>
      <c r="D151" s="140" t="s">
        <v>508</v>
      </c>
      <c r="E151" s="140" t="s">
        <v>383</v>
      </c>
      <c r="F151" s="443" t="s">
        <v>509</v>
      </c>
    </row>
    <row r="152" spans="1:6" ht="21" customHeight="1">
      <c r="A152" s="114" t="s">
        <v>147</v>
      </c>
      <c r="B152" s="87" t="s">
        <v>733</v>
      </c>
      <c r="C152" s="342">
        <v>0</v>
      </c>
      <c r="D152" s="106">
        <f>F152-C152</f>
        <v>3120000</v>
      </c>
      <c r="E152" s="188">
        <v>0</v>
      </c>
      <c r="F152" s="160">
        <f>SUM('Kiadások részletes COFOG'!F250)</f>
        <v>3120000</v>
      </c>
    </row>
    <row r="153" spans="1:6" ht="21" customHeight="1">
      <c r="A153" s="114" t="s">
        <v>347</v>
      </c>
      <c r="B153" s="87" t="s">
        <v>628</v>
      </c>
      <c r="C153" s="342">
        <v>0</v>
      </c>
      <c r="D153" s="106">
        <f>F153-C153</f>
        <v>405600</v>
      </c>
      <c r="E153" s="188">
        <v>0</v>
      </c>
      <c r="F153" s="160">
        <f>SUM('Kiadások részletes COFOG'!F252)</f>
        <v>405600</v>
      </c>
    </row>
    <row r="154" spans="1:6" ht="21" customHeight="1">
      <c r="A154" s="318" t="s">
        <v>169</v>
      </c>
      <c r="B154" s="609" t="s">
        <v>170</v>
      </c>
      <c r="C154" s="739">
        <v>0</v>
      </c>
      <c r="D154" s="106">
        <f t="shared" ref="D154:D158" si="17">F154-C154</f>
        <v>874713</v>
      </c>
      <c r="E154" s="301">
        <v>0</v>
      </c>
      <c r="F154" s="727">
        <f>SUM('Kiadások részletes COFOG'!F254)</f>
        <v>874713</v>
      </c>
    </row>
    <row r="155" spans="1:6" ht="21" customHeight="1">
      <c r="A155" s="318" t="s">
        <v>212</v>
      </c>
      <c r="B155" s="609" t="s">
        <v>270</v>
      </c>
      <c r="C155" s="739">
        <v>0</v>
      </c>
      <c r="D155" s="106">
        <f t="shared" si="17"/>
        <v>236173</v>
      </c>
      <c r="E155" s="301">
        <v>0</v>
      </c>
      <c r="F155" s="727">
        <f>SUM('Kiadások részletes COFOG'!F258)</f>
        <v>236173</v>
      </c>
    </row>
    <row r="156" spans="1:6" ht="21" customHeight="1">
      <c r="A156" s="114" t="s">
        <v>244</v>
      </c>
      <c r="B156" s="195" t="s">
        <v>730</v>
      </c>
      <c r="C156" s="405">
        <v>0</v>
      </c>
      <c r="D156" s="106">
        <f t="shared" si="17"/>
        <v>382280</v>
      </c>
      <c r="E156" s="301">
        <v>0</v>
      </c>
      <c r="F156" s="160">
        <f>SUM('Kiadások részletes COFOG'!F261)</f>
        <v>382280</v>
      </c>
    </row>
    <row r="157" spans="1:6" ht="21" customHeight="1">
      <c r="A157" s="114" t="s">
        <v>246</v>
      </c>
      <c r="B157" s="195" t="s">
        <v>731</v>
      </c>
      <c r="C157" s="405">
        <v>0</v>
      </c>
      <c r="D157" s="106">
        <f t="shared" si="17"/>
        <v>88946</v>
      </c>
      <c r="E157" s="301">
        <v>0</v>
      </c>
      <c r="F157" s="160">
        <f>SUM('Kiadások részletes COFOG'!F263)</f>
        <v>88946</v>
      </c>
    </row>
    <row r="158" spans="1:6" ht="21" customHeight="1" thickBot="1">
      <c r="A158" s="101" t="s">
        <v>248</v>
      </c>
      <c r="B158" s="427" t="s">
        <v>275</v>
      </c>
      <c r="C158" s="722">
        <v>0</v>
      </c>
      <c r="D158" s="106">
        <f t="shared" si="17"/>
        <v>127232</v>
      </c>
      <c r="E158" s="301">
        <v>0</v>
      </c>
      <c r="F158" s="760">
        <f>SUM('Kiadások részletes COFOG'!F265)</f>
        <v>127232</v>
      </c>
    </row>
    <row r="159" spans="1:6" ht="21" customHeight="1" thickBot="1">
      <c r="A159" s="853" t="s">
        <v>278</v>
      </c>
      <c r="B159" s="853"/>
      <c r="C159" s="413">
        <f>SUM(C152:C153)</f>
        <v>0</v>
      </c>
      <c r="D159" s="93">
        <f>SUM(D152:D158)</f>
        <v>5234944</v>
      </c>
      <c r="E159" s="302">
        <v>0</v>
      </c>
      <c r="F159" s="163">
        <f>SUM(F152:F158)</f>
        <v>5234944</v>
      </c>
    </row>
    <row r="160" spans="1:6" ht="27" customHeight="1" thickBot="1">
      <c r="A160" s="833" t="s">
        <v>285</v>
      </c>
      <c r="B160" s="833"/>
      <c r="C160" s="833"/>
      <c r="D160" s="833"/>
      <c r="E160" s="833"/>
      <c r="F160" s="833"/>
    </row>
    <row r="161" spans="1:11" ht="21" customHeight="1" thickBot="1">
      <c r="A161" s="856" t="s">
        <v>46</v>
      </c>
      <c r="B161" s="852" t="s">
        <v>47</v>
      </c>
      <c r="C161" s="854">
        <v>2023</v>
      </c>
      <c r="D161" s="857"/>
      <c r="E161" s="857"/>
      <c r="F161" s="858"/>
    </row>
    <row r="162" spans="1:11" ht="24.75" customHeight="1" thickBot="1">
      <c r="A162" s="860"/>
      <c r="B162" s="861"/>
      <c r="C162" s="140" t="s">
        <v>48</v>
      </c>
      <c r="D162" s="140" t="s">
        <v>508</v>
      </c>
      <c r="E162" s="140" t="s">
        <v>383</v>
      </c>
      <c r="F162" s="443" t="s">
        <v>509</v>
      </c>
    </row>
    <row r="163" spans="1:11" ht="18" customHeight="1">
      <c r="A163" s="114" t="s">
        <v>169</v>
      </c>
      <c r="B163" s="87" t="s">
        <v>170</v>
      </c>
      <c r="C163" s="328">
        <v>600000</v>
      </c>
      <c r="D163" s="106">
        <f>F163-C163</f>
        <v>0</v>
      </c>
      <c r="E163" s="332">
        <f>F163/C163*100</f>
        <v>100</v>
      </c>
      <c r="F163" s="334">
        <f>'Kiadások részletes COFOG'!F275</f>
        <v>600000</v>
      </c>
    </row>
    <row r="164" spans="1:11" ht="18.75" customHeight="1">
      <c r="A164" s="86" t="s">
        <v>188</v>
      </c>
      <c r="B164" s="87" t="s">
        <v>267</v>
      </c>
      <c r="C164" s="106">
        <v>5040000</v>
      </c>
      <c r="D164" s="106">
        <f>F164-C164</f>
        <v>0</v>
      </c>
      <c r="E164" s="332">
        <f>F164/C164*100</f>
        <v>100</v>
      </c>
      <c r="F164" s="107">
        <f>'Kiadások részletes COFOG'!F276</f>
        <v>5040000</v>
      </c>
      <c r="K164" s="77"/>
    </row>
    <row r="165" spans="1:11" ht="18.75" customHeight="1">
      <c r="A165" s="91" t="s">
        <v>198</v>
      </c>
      <c r="B165" s="92" t="s">
        <v>199</v>
      </c>
      <c r="C165" s="95">
        <v>2100000</v>
      </c>
      <c r="D165" s="106">
        <f>F165-C165</f>
        <v>0</v>
      </c>
      <c r="E165" s="332">
        <f>F165/C165*100</f>
        <v>100</v>
      </c>
      <c r="F165" s="96">
        <f>'Kiadások részletes COFOG'!F277</f>
        <v>2100000</v>
      </c>
      <c r="K165" s="77"/>
    </row>
    <row r="166" spans="1:11" ht="24" customHeight="1" thickBot="1">
      <c r="A166" s="102" t="s">
        <v>212</v>
      </c>
      <c r="B166" s="92" t="s">
        <v>270</v>
      </c>
      <c r="C166" s="95">
        <v>2100000</v>
      </c>
      <c r="D166" s="106">
        <f>F166-C166</f>
        <v>0</v>
      </c>
      <c r="E166" s="332">
        <f>F166/C166*100</f>
        <v>100</v>
      </c>
      <c r="F166" s="96">
        <f>'Kiadások részletes COFOG'!F278</f>
        <v>2100000</v>
      </c>
      <c r="H166" s="164"/>
      <c r="I166" s="165"/>
      <c r="J166" s="165"/>
      <c r="K166" s="165"/>
    </row>
    <row r="167" spans="1:11" ht="21" customHeight="1" thickBot="1">
      <c r="A167" s="853" t="s">
        <v>278</v>
      </c>
      <c r="B167" s="853"/>
      <c r="C167" s="93">
        <f>SUM(C163:C166)</f>
        <v>9840000</v>
      </c>
      <c r="D167" s="93">
        <f>SUM(D163:D166)</f>
        <v>0</v>
      </c>
      <c r="E167" s="333">
        <f>F167/C167*100</f>
        <v>100</v>
      </c>
      <c r="F167" s="94">
        <f>SUM(F163:F166)</f>
        <v>9840000</v>
      </c>
    </row>
    <row r="168" spans="1:11" ht="25.5" customHeight="1" thickBot="1">
      <c r="A168" s="833" t="s">
        <v>286</v>
      </c>
      <c r="B168" s="833"/>
      <c r="C168" s="833"/>
      <c r="D168" s="833"/>
      <c r="E168" s="833"/>
      <c r="F168" s="833"/>
    </row>
    <row r="169" spans="1:11" ht="21.75" customHeight="1" thickBot="1">
      <c r="A169" s="856" t="s">
        <v>46</v>
      </c>
      <c r="B169" s="852" t="s">
        <v>47</v>
      </c>
      <c r="C169" s="854">
        <v>2023</v>
      </c>
      <c r="D169" s="857"/>
      <c r="E169" s="857"/>
      <c r="F169" s="858"/>
    </row>
    <row r="170" spans="1:11" ht="27.75" customHeight="1" thickBot="1">
      <c r="A170" s="856"/>
      <c r="B170" s="852"/>
      <c r="C170" s="140" t="s">
        <v>48</v>
      </c>
      <c r="D170" s="140" t="s">
        <v>508</v>
      </c>
      <c r="E170" s="140" t="s">
        <v>383</v>
      </c>
      <c r="F170" s="443" t="s">
        <v>509</v>
      </c>
      <c r="J170" s="165"/>
    </row>
    <row r="171" spans="1:11" ht="15" customHeight="1">
      <c r="A171" s="86" t="s">
        <v>143</v>
      </c>
      <c r="B171" s="87" t="s">
        <v>144</v>
      </c>
      <c r="C171" s="106">
        <v>3650000</v>
      </c>
      <c r="D171" s="106">
        <f>F171-C171</f>
        <v>-50000</v>
      </c>
      <c r="E171" s="188">
        <f>F171/C171*100</f>
        <v>98.630136986301366</v>
      </c>
      <c r="F171" s="107">
        <f>'Kiadások részletes COFOG'!F286</f>
        <v>3600000</v>
      </c>
      <c r="G171" s="147"/>
    </row>
    <row r="172" spans="1:11" ht="15" customHeight="1">
      <c r="A172" s="114" t="s">
        <v>692</v>
      </c>
      <c r="B172" s="87" t="s">
        <v>693</v>
      </c>
      <c r="C172" s="106">
        <v>150000</v>
      </c>
      <c r="D172" s="106">
        <f>F172-C172</f>
        <v>0</v>
      </c>
      <c r="E172" s="188">
        <v>0</v>
      </c>
      <c r="F172" s="107">
        <f>'Kiadások részletes COFOG'!F287</f>
        <v>150000</v>
      </c>
    </row>
    <row r="173" spans="1:11" ht="15" customHeight="1">
      <c r="A173" s="114" t="s">
        <v>423</v>
      </c>
      <c r="B173" s="87" t="s">
        <v>601</v>
      </c>
      <c r="C173" s="106">
        <v>100000</v>
      </c>
      <c r="D173" s="106">
        <f>F173-C173</f>
        <v>0</v>
      </c>
      <c r="E173" s="188"/>
      <c r="F173" s="107">
        <f>('Kiadások részletes COFOG'!F288)</f>
        <v>100000</v>
      </c>
    </row>
    <row r="174" spans="1:11" ht="15" customHeight="1">
      <c r="A174" s="114" t="s">
        <v>147</v>
      </c>
      <c r="B174" s="87" t="s">
        <v>148</v>
      </c>
      <c r="C174" s="106">
        <v>0</v>
      </c>
      <c r="D174" s="106">
        <f t="shared" ref="D174:D194" si="18">F174-C174</f>
        <v>0</v>
      </c>
      <c r="E174" s="188">
        <v>0</v>
      </c>
      <c r="F174" s="107">
        <f>'Kiadások részletes COFOG'!F290</f>
        <v>0</v>
      </c>
    </row>
    <row r="175" spans="1:11" ht="15" customHeight="1">
      <c r="A175" s="114" t="s">
        <v>149</v>
      </c>
      <c r="B175" s="87" t="s">
        <v>150</v>
      </c>
      <c r="C175" s="106">
        <v>160000</v>
      </c>
      <c r="D175" s="106">
        <f t="shared" si="18"/>
        <v>0</v>
      </c>
      <c r="E175" s="188">
        <f>F175/C175*100</f>
        <v>100</v>
      </c>
      <c r="F175" s="107">
        <f>'Kiadások részletes COFOG'!F291</f>
        <v>160000</v>
      </c>
    </row>
    <row r="176" spans="1:11" ht="21">
      <c r="A176" s="114" t="s">
        <v>153</v>
      </c>
      <c r="B176" s="87" t="s">
        <v>154</v>
      </c>
      <c r="C176" s="106">
        <v>0</v>
      </c>
      <c r="D176" s="106">
        <f t="shared" si="18"/>
        <v>2707500</v>
      </c>
      <c r="E176" s="188">
        <v>0</v>
      </c>
      <c r="F176" s="107">
        <f>SUM('Kiadások részletes COFOG'!F295)</f>
        <v>2707500</v>
      </c>
    </row>
    <row r="177" spans="1:11" ht="15" customHeight="1">
      <c r="A177" s="86" t="s">
        <v>157</v>
      </c>
      <c r="B177" s="87" t="s">
        <v>158</v>
      </c>
      <c r="C177" s="106">
        <v>900000</v>
      </c>
      <c r="D177" s="106">
        <f t="shared" si="18"/>
        <v>0</v>
      </c>
      <c r="E177" s="188">
        <f>F177/C177*100</f>
        <v>100</v>
      </c>
      <c r="F177" s="107">
        <f>'Kiadások részletes COFOG'!F299</f>
        <v>900000</v>
      </c>
      <c r="K177" s="146"/>
    </row>
    <row r="178" spans="1:11" ht="15" customHeight="1">
      <c r="A178" s="86" t="s">
        <v>163</v>
      </c>
      <c r="B178" s="87" t="s">
        <v>162</v>
      </c>
      <c r="C178" s="106">
        <v>0</v>
      </c>
      <c r="D178" s="106">
        <f t="shared" si="18"/>
        <v>0</v>
      </c>
      <c r="E178" s="188">
        <v>0</v>
      </c>
      <c r="F178" s="107">
        <f>'Kiadások részletes COFOG'!F302</f>
        <v>0</v>
      </c>
    </row>
    <row r="179" spans="1:11" ht="15" customHeight="1">
      <c r="A179" s="86" t="s">
        <v>169</v>
      </c>
      <c r="B179" s="87" t="s">
        <v>170</v>
      </c>
      <c r="C179" s="106">
        <v>2500000</v>
      </c>
      <c r="D179" s="106">
        <f t="shared" si="18"/>
        <v>0</v>
      </c>
      <c r="E179" s="188">
        <f>F179/C179*100</f>
        <v>100</v>
      </c>
      <c r="F179" s="107">
        <f>'Kiadások részletes COFOG'!F303</f>
        <v>2500000</v>
      </c>
    </row>
    <row r="180" spans="1:11" ht="15" customHeight="1">
      <c r="A180" s="114" t="s">
        <v>425</v>
      </c>
      <c r="B180" s="87" t="s">
        <v>320</v>
      </c>
      <c r="C180" s="106">
        <v>165600</v>
      </c>
      <c r="D180" s="106">
        <f t="shared" si="18"/>
        <v>0</v>
      </c>
      <c r="E180" s="188">
        <v>0</v>
      </c>
      <c r="F180" s="107">
        <f>SUM('Kiadások részletes COFOG'!F309)</f>
        <v>165600</v>
      </c>
    </row>
    <row r="181" spans="1:11" ht="15" customHeight="1">
      <c r="A181" s="114" t="s">
        <v>186</v>
      </c>
      <c r="B181" s="87" t="s">
        <v>287</v>
      </c>
      <c r="C181" s="106">
        <v>1030000</v>
      </c>
      <c r="D181" s="106">
        <f t="shared" si="18"/>
        <v>0</v>
      </c>
      <c r="E181" s="188">
        <f>F181/C181*100</f>
        <v>100</v>
      </c>
      <c r="F181" s="107">
        <f>SUM('Kiadások részletes COFOG'!F311)</f>
        <v>1030000</v>
      </c>
    </row>
    <row r="182" spans="1:11" ht="15" customHeight="1">
      <c r="A182" s="86" t="s">
        <v>196</v>
      </c>
      <c r="B182" s="87" t="s">
        <v>197</v>
      </c>
      <c r="C182" s="106">
        <v>0</v>
      </c>
      <c r="D182" s="106">
        <f t="shared" si="18"/>
        <v>0</v>
      </c>
      <c r="E182" s="188">
        <v>0</v>
      </c>
      <c r="F182" s="107">
        <f>'Kiadások részletes COFOG'!F315</f>
        <v>0</v>
      </c>
    </row>
    <row r="183" spans="1:11" ht="15" customHeight="1">
      <c r="A183" s="86" t="s">
        <v>198</v>
      </c>
      <c r="B183" s="87" t="s">
        <v>199</v>
      </c>
      <c r="C183" s="106">
        <v>650000</v>
      </c>
      <c r="D183" s="106">
        <f t="shared" si="18"/>
        <v>0</v>
      </c>
      <c r="E183" s="188">
        <f>F183/C183*100</f>
        <v>100</v>
      </c>
      <c r="F183" s="107">
        <f>SUM('Kiadások részletes COFOG'!F316)</f>
        <v>650000</v>
      </c>
    </row>
    <row r="184" spans="1:11" ht="15" customHeight="1">
      <c r="A184" s="86" t="s">
        <v>202</v>
      </c>
      <c r="B184" s="87" t="s">
        <v>203</v>
      </c>
      <c r="C184" s="106">
        <v>15000</v>
      </c>
      <c r="D184" s="106">
        <f t="shared" si="18"/>
        <v>0</v>
      </c>
      <c r="E184" s="188">
        <v>0</v>
      </c>
      <c r="F184" s="107">
        <f>SUM('Kiadások részletes COFOG'!F319)</f>
        <v>15000</v>
      </c>
    </row>
    <row r="185" spans="1:11" ht="15" customHeight="1">
      <c r="A185" s="86" t="s">
        <v>204</v>
      </c>
      <c r="B185" s="87" t="s">
        <v>205</v>
      </c>
      <c r="C185" s="106">
        <v>2200000</v>
      </c>
      <c r="D185" s="106">
        <f t="shared" si="18"/>
        <v>-500000</v>
      </c>
      <c r="E185" s="188">
        <f>F185/C185*100</f>
        <v>77.272727272727266</v>
      </c>
      <c r="F185" s="107">
        <f>SUM('Kiadások részletes COFOG'!F320)</f>
        <v>1700000</v>
      </c>
    </row>
    <row r="186" spans="1:11" ht="15" customHeight="1">
      <c r="A186" s="86" t="s">
        <v>210</v>
      </c>
      <c r="B186" s="87" t="s">
        <v>211</v>
      </c>
      <c r="C186" s="106"/>
      <c r="D186" s="106">
        <f t="shared" si="18"/>
        <v>0</v>
      </c>
      <c r="E186" s="188">
        <v>0</v>
      </c>
      <c r="F186" s="107"/>
    </row>
    <row r="187" spans="1:11" ht="21">
      <c r="A187" s="86" t="s">
        <v>212</v>
      </c>
      <c r="B187" s="87" t="s">
        <v>270</v>
      </c>
      <c r="C187" s="106">
        <v>1500000</v>
      </c>
      <c r="D187" s="106">
        <f t="shared" si="18"/>
        <v>-200000</v>
      </c>
      <c r="E187" s="188">
        <f t="shared" ref="E187:E191" si="19">F187/C187*100</f>
        <v>86.666666666666671</v>
      </c>
      <c r="F187" s="107">
        <f>'Kiadások részletes COFOG'!F326</f>
        <v>1300000</v>
      </c>
      <c r="I187" s="146"/>
    </row>
    <row r="188" spans="1:11" ht="18" customHeight="1">
      <c r="A188" s="114" t="s">
        <v>216</v>
      </c>
      <c r="B188" s="87" t="s">
        <v>217</v>
      </c>
      <c r="C188" s="106">
        <v>0</v>
      </c>
      <c r="D188" s="106">
        <f t="shared" si="18"/>
        <v>0</v>
      </c>
      <c r="E188" s="188">
        <v>0</v>
      </c>
      <c r="F188" s="107">
        <f>'Kiadások részletes COFOG'!F327</f>
        <v>0</v>
      </c>
      <c r="I188" s="146"/>
    </row>
    <row r="189" spans="1:11" ht="18" customHeight="1">
      <c r="A189" s="114" t="s">
        <v>218</v>
      </c>
      <c r="B189" s="87" t="s">
        <v>219</v>
      </c>
      <c r="C189" s="106">
        <v>0</v>
      </c>
      <c r="D189" s="106">
        <f t="shared" si="18"/>
        <v>500000</v>
      </c>
      <c r="E189" s="188">
        <v>0</v>
      </c>
      <c r="F189" s="107">
        <f>SUM('Kiadások részletes COFOG'!F328)</f>
        <v>500000</v>
      </c>
      <c r="I189" s="146"/>
    </row>
    <row r="190" spans="1:11" ht="19.5" customHeight="1">
      <c r="A190" s="86" t="s">
        <v>246</v>
      </c>
      <c r="B190" s="87" t="s">
        <v>247</v>
      </c>
      <c r="C190" s="106">
        <v>200000</v>
      </c>
      <c r="D190" s="106">
        <f t="shared" si="18"/>
        <v>6017090</v>
      </c>
      <c r="E190" s="188">
        <f t="shared" si="19"/>
        <v>3108.5450000000001</v>
      </c>
      <c r="F190" s="107">
        <f>'Kiadások részletes COFOG'!F333</f>
        <v>6217090</v>
      </c>
    </row>
    <row r="191" spans="1:11" ht="22.5" customHeight="1">
      <c r="A191" s="102" t="s">
        <v>248</v>
      </c>
      <c r="B191" s="92" t="s">
        <v>275</v>
      </c>
      <c r="C191" s="95">
        <v>54000</v>
      </c>
      <c r="D191" s="106">
        <f t="shared" si="18"/>
        <v>1618790</v>
      </c>
      <c r="E191" s="188">
        <f t="shared" si="19"/>
        <v>3097.7592592592591</v>
      </c>
      <c r="F191" s="96">
        <f>'Kiadások részletes COFOG'!F334</f>
        <v>1672790</v>
      </c>
    </row>
    <row r="192" spans="1:11" ht="21.75" customHeight="1">
      <c r="A192" s="91" t="s">
        <v>250</v>
      </c>
      <c r="B192" s="150" t="s">
        <v>416</v>
      </c>
      <c r="C192" s="95">
        <v>0</v>
      </c>
      <c r="D192" s="106">
        <f t="shared" si="18"/>
        <v>135011005</v>
      </c>
      <c r="E192" s="188">
        <v>0</v>
      </c>
      <c r="F192" s="96">
        <f>'Kiadások részletes COFOG'!F338</f>
        <v>135011005</v>
      </c>
    </row>
    <row r="193" spans="1:11" ht="21.75" customHeight="1">
      <c r="A193" s="91" t="s">
        <v>254</v>
      </c>
      <c r="B193" s="150" t="s">
        <v>276</v>
      </c>
      <c r="C193" s="95">
        <v>0</v>
      </c>
      <c r="D193" s="106">
        <f t="shared" si="18"/>
        <v>35993543</v>
      </c>
      <c r="E193" s="188">
        <v>0</v>
      </c>
      <c r="F193" s="96">
        <f>'Kiadások részletes COFOG'!F341</f>
        <v>35993543</v>
      </c>
    </row>
    <row r="194" spans="1:11" ht="30" customHeight="1" thickBot="1">
      <c r="A194" s="104" t="s">
        <v>419</v>
      </c>
      <c r="B194" s="331" t="s">
        <v>420</v>
      </c>
      <c r="C194" s="321">
        <v>0</v>
      </c>
      <c r="D194" s="106">
        <f t="shared" si="18"/>
        <v>0</v>
      </c>
      <c r="E194" s="188">
        <v>0</v>
      </c>
      <c r="F194" s="168">
        <f>'Kiadások részletes COFOG'!F344</f>
        <v>0</v>
      </c>
    </row>
    <row r="195" spans="1:11" ht="23.25" customHeight="1" thickBot="1">
      <c r="A195" s="853" t="s">
        <v>278</v>
      </c>
      <c r="B195" s="853"/>
      <c r="C195" s="93">
        <f>SUM(C171:C194)</f>
        <v>13274600</v>
      </c>
      <c r="D195" s="93">
        <f>SUM(D171:D194)</f>
        <v>181097928</v>
      </c>
      <c r="E195" s="302">
        <f>F195/C195*100</f>
        <v>1464.2439546201015</v>
      </c>
      <c r="F195" s="94">
        <f>SUM(F171:F194)</f>
        <v>194372528</v>
      </c>
    </row>
    <row r="196" spans="1:11" ht="24" customHeight="1" thickBot="1">
      <c r="A196" s="833" t="s">
        <v>134</v>
      </c>
      <c r="B196" s="833"/>
      <c r="C196" s="833"/>
      <c r="D196" s="833"/>
      <c r="E196" s="833"/>
      <c r="F196" s="833"/>
    </row>
    <row r="197" spans="1:11" ht="23.25" customHeight="1" thickBot="1">
      <c r="A197" s="856" t="s">
        <v>46</v>
      </c>
      <c r="B197" s="852" t="s">
        <v>47</v>
      </c>
      <c r="C197" s="854">
        <v>2023</v>
      </c>
      <c r="D197" s="857"/>
      <c r="E197" s="857"/>
      <c r="F197" s="858"/>
    </row>
    <row r="198" spans="1:11" ht="25.5" customHeight="1" thickBot="1">
      <c r="A198" s="860"/>
      <c r="B198" s="861"/>
      <c r="C198" s="140" t="s">
        <v>48</v>
      </c>
      <c r="D198" s="140" t="s">
        <v>508</v>
      </c>
      <c r="E198" s="140" t="s">
        <v>383</v>
      </c>
      <c r="F198" s="443" t="s">
        <v>509</v>
      </c>
    </row>
    <row r="199" spans="1:11" ht="15.95" customHeight="1">
      <c r="A199" s="141" t="s">
        <v>141</v>
      </c>
      <c r="B199" s="142" t="s">
        <v>142</v>
      </c>
      <c r="C199" s="340">
        <v>4410000</v>
      </c>
      <c r="D199" s="340">
        <f t="shared" ref="D199:D221" si="20">F199-C199</f>
        <v>0</v>
      </c>
      <c r="E199" s="188">
        <f t="shared" ref="E199:E208" si="21">F199/C199*100</f>
        <v>100</v>
      </c>
      <c r="F199" s="341">
        <f>'Kiadások részletes COFOG'!F351</f>
        <v>4410000</v>
      </c>
      <c r="G199" s="147"/>
    </row>
    <row r="200" spans="1:11" ht="15.95" customHeight="1">
      <c r="A200" s="318" t="s">
        <v>692</v>
      </c>
      <c r="B200" s="142" t="s">
        <v>697</v>
      </c>
      <c r="C200" s="340">
        <v>250000</v>
      </c>
      <c r="D200" s="340">
        <f t="shared" si="20"/>
        <v>0</v>
      </c>
      <c r="E200" s="188">
        <v>0</v>
      </c>
      <c r="F200" s="341">
        <f>SUM('Kiadások részletes COFOG'!F352)</f>
        <v>250000</v>
      </c>
      <c r="G200" s="147"/>
    </row>
    <row r="201" spans="1:11" ht="15.95" customHeight="1">
      <c r="A201" s="114" t="s">
        <v>421</v>
      </c>
      <c r="B201" s="87" t="s">
        <v>422</v>
      </c>
      <c r="C201" s="112">
        <v>100000</v>
      </c>
      <c r="D201" s="340">
        <f t="shared" si="20"/>
        <v>0</v>
      </c>
      <c r="E201" s="188">
        <f t="shared" si="21"/>
        <v>100</v>
      </c>
      <c r="F201" s="113">
        <f>'Kiadások részletes COFOG'!F355</f>
        <v>100000</v>
      </c>
      <c r="G201" s="147"/>
    </row>
    <row r="202" spans="1:11" ht="15.95" customHeight="1">
      <c r="A202" s="114" t="s">
        <v>534</v>
      </c>
      <c r="B202" s="87" t="s">
        <v>535</v>
      </c>
      <c r="C202" s="112">
        <v>0</v>
      </c>
      <c r="D202" s="340">
        <f t="shared" si="20"/>
        <v>0</v>
      </c>
      <c r="E202" s="188">
        <v>0</v>
      </c>
      <c r="F202" s="113">
        <f>'Kiadások részletes COFOG'!F356</f>
        <v>0</v>
      </c>
      <c r="G202" s="147"/>
    </row>
    <row r="203" spans="1:11" ht="15.95" customHeight="1">
      <c r="A203" s="114" t="s">
        <v>423</v>
      </c>
      <c r="B203" s="87" t="s">
        <v>424</v>
      </c>
      <c r="C203" s="112">
        <v>100000</v>
      </c>
      <c r="D203" s="340">
        <f t="shared" si="20"/>
        <v>0</v>
      </c>
      <c r="E203" s="188">
        <f t="shared" si="21"/>
        <v>100</v>
      </c>
      <c r="F203" s="113">
        <f>'Kiadások részletes COFOG'!F357</f>
        <v>100000</v>
      </c>
      <c r="G203" s="147"/>
    </row>
    <row r="204" spans="1:11" ht="15.95" customHeight="1">
      <c r="A204" s="86" t="s">
        <v>145</v>
      </c>
      <c r="B204" s="87" t="s">
        <v>146</v>
      </c>
      <c r="C204" s="106">
        <v>0</v>
      </c>
      <c r="D204" s="340">
        <f t="shared" si="20"/>
        <v>0</v>
      </c>
      <c r="E204" s="188">
        <v>0</v>
      </c>
      <c r="F204" s="107">
        <f>'Kiadások részletes COFOG'!F358</f>
        <v>0</v>
      </c>
    </row>
    <row r="205" spans="1:11" ht="15.95" customHeight="1">
      <c r="A205" s="86" t="s">
        <v>147</v>
      </c>
      <c r="B205" s="87" t="s">
        <v>148</v>
      </c>
      <c r="C205" s="106">
        <v>0</v>
      </c>
      <c r="D205" s="340">
        <f t="shared" si="20"/>
        <v>0</v>
      </c>
      <c r="E205" s="188">
        <v>0</v>
      </c>
      <c r="F205" s="107">
        <f>'Kiadások részletes COFOG'!F359</f>
        <v>0</v>
      </c>
      <c r="K205" s="146"/>
    </row>
    <row r="206" spans="1:11" s="167" customFormat="1" ht="18" customHeight="1">
      <c r="A206" s="114" t="s">
        <v>290</v>
      </c>
      <c r="B206" s="166" t="s">
        <v>150</v>
      </c>
      <c r="C206" s="342">
        <v>100000</v>
      </c>
      <c r="D206" s="340">
        <f t="shared" si="20"/>
        <v>0</v>
      </c>
      <c r="E206" s="188">
        <f t="shared" si="21"/>
        <v>100</v>
      </c>
      <c r="F206" s="107">
        <f>'Kiadások részletes COFOG'!F360</f>
        <v>100000</v>
      </c>
    </row>
    <row r="207" spans="1:11" ht="21" customHeight="1">
      <c r="A207" s="86" t="s">
        <v>153</v>
      </c>
      <c r="B207" s="87" t="s">
        <v>154</v>
      </c>
      <c r="C207" s="106">
        <v>1180000</v>
      </c>
      <c r="D207" s="340">
        <f t="shared" si="20"/>
        <v>0</v>
      </c>
      <c r="E207" s="188">
        <f t="shared" si="21"/>
        <v>100</v>
      </c>
      <c r="F207" s="107">
        <f>'Kiadások részletes COFOG'!F363</f>
        <v>1180000</v>
      </c>
      <c r="K207" s="77"/>
    </row>
    <row r="208" spans="1:11" ht="15.95" customHeight="1">
      <c r="A208" s="86" t="s">
        <v>157</v>
      </c>
      <c r="B208" s="87" t="s">
        <v>628</v>
      </c>
      <c r="C208" s="106">
        <v>815000</v>
      </c>
      <c r="D208" s="340">
        <f t="shared" si="20"/>
        <v>0</v>
      </c>
      <c r="E208" s="188">
        <f t="shared" si="21"/>
        <v>100</v>
      </c>
      <c r="F208" s="107">
        <f>'Kiadások részletes COFOG'!F370</f>
        <v>815000</v>
      </c>
    </row>
    <row r="209" spans="1:6" ht="15.95" customHeight="1">
      <c r="A209" s="86" t="s">
        <v>163</v>
      </c>
      <c r="B209" s="87" t="s">
        <v>162</v>
      </c>
      <c r="C209" s="106">
        <v>30000</v>
      </c>
      <c r="D209" s="340">
        <f t="shared" si="20"/>
        <v>0</v>
      </c>
      <c r="E209" s="188">
        <f t="shared" ref="E209:E217" si="22">F209/C209*100</f>
        <v>100</v>
      </c>
      <c r="F209" s="107">
        <f>'Kiadások részletes COFOG'!F371</f>
        <v>30000</v>
      </c>
    </row>
    <row r="210" spans="1:6" ht="15.95" customHeight="1">
      <c r="A210" s="86" t="s">
        <v>169</v>
      </c>
      <c r="B210" s="87" t="s">
        <v>170</v>
      </c>
      <c r="C210" s="106">
        <v>150000</v>
      </c>
      <c r="D210" s="340">
        <f t="shared" si="20"/>
        <v>0</v>
      </c>
      <c r="E210" s="188">
        <f t="shared" si="22"/>
        <v>100</v>
      </c>
      <c r="F210" s="107">
        <f>'Kiadások részletes COFOG'!F372</f>
        <v>150000</v>
      </c>
    </row>
    <row r="211" spans="1:6" ht="15.95" customHeight="1">
      <c r="A211" s="114" t="s">
        <v>425</v>
      </c>
      <c r="B211" s="87" t="s">
        <v>391</v>
      </c>
      <c r="C211" s="106">
        <v>42000</v>
      </c>
      <c r="D211" s="340">
        <f t="shared" si="20"/>
        <v>0</v>
      </c>
      <c r="E211" s="188">
        <f t="shared" si="22"/>
        <v>100</v>
      </c>
      <c r="F211" s="107">
        <f>'Kiadások részletes COFOG'!F375</f>
        <v>42000</v>
      </c>
    </row>
    <row r="212" spans="1:6" ht="15.95" customHeight="1">
      <c r="A212" s="86" t="s">
        <v>184</v>
      </c>
      <c r="B212" s="87" t="s">
        <v>426</v>
      </c>
      <c r="C212" s="106">
        <v>90000</v>
      </c>
      <c r="D212" s="340">
        <f t="shared" si="20"/>
        <v>0</v>
      </c>
      <c r="E212" s="188">
        <f t="shared" si="22"/>
        <v>100</v>
      </c>
      <c r="F212" s="107">
        <f>'Kiadások részletes COFOG'!F377</f>
        <v>90000</v>
      </c>
    </row>
    <row r="213" spans="1:6" ht="15.95" customHeight="1">
      <c r="A213" s="86" t="s">
        <v>198</v>
      </c>
      <c r="B213" s="87" t="s">
        <v>199</v>
      </c>
      <c r="C213" s="106">
        <v>50000</v>
      </c>
      <c r="D213" s="340">
        <f t="shared" si="20"/>
        <v>0</v>
      </c>
      <c r="E213" s="188">
        <f t="shared" si="22"/>
        <v>100</v>
      </c>
      <c r="F213" s="107">
        <f>'Kiadások részletes COFOG'!F379</f>
        <v>50000</v>
      </c>
    </row>
    <row r="214" spans="1:6" ht="19.5" customHeight="1">
      <c r="A214" s="86" t="s">
        <v>200</v>
      </c>
      <c r="B214" s="87" t="s">
        <v>201</v>
      </c>
      <c r="C214" s="106">
        <v>110000</v>
      </c>
      <c r="D214" s="340">
        <f t="shared" si="20"/>
        <v>0</v>
      </c>
      <c r="E214" s="188">
        <f t="shared" si="22"/>
        <v>100</v>
      </c>
      <c r="F214" s="107">
        <f>SUM('Kiadások részletes COFOG'!F380)</f>
        <v>110000</v>
      </c>
    </row>
    <row r="215" spans="1:6" ht="15.95" customHeight="1">
      <c r="A215" s="114" t="s">
        <v>204</v>
      </c>
      <c r="B215" s="87" t="s">
        <v>205</v>
      </c>
      <c r="C215" s="106">
        <v>20000</v>
      </c>
      <c r="D215" s="340">
        <f t="shared" si="20"/>
        <v>0</v>
      </c>
      <c r="E215" s="188">
        <f t="shared" si="22"/>
        <v>100</v>
      </c>
      <c r="F215" s="107">
        <f>SUM('Kiadások részletes COFOG'!F383)</f>
        <v>20000</v>
      </c>
    </row>
    <row r="216" spans="1:6" ht="15.95" customHeight="1">
      <c r="A216" s="114" t="s">
        <v>291</v>
      </c>
      <c r="B216" s="87" t="s">
        <v>292</v>
      </c>
      <c r="C216" s="106">
        <v>50000</v>
      </c>
      <c r="D216" s="340">
        <f t="shared" si="20"/>
        <v>0</v>
      </c>
      <c r="E216" s="188">
        <f t="shared" si="22"/>
        <v>100</v>
      </c>
      <c r="F216" s="107">
        <f>'Kiadások részletes COFOG'!F384</f>
        <v>50000</v>
      </c>
    </row>
    <row r="217" spans="1:6" ht="21.75" customHeight="1">
      <c r="A217" s="86" t="s">
        <v>212</v>
      </c>
      <c r="B217" s="87" t="s">
        <v>270</v>
      </c>
      <c r="C217" s="106">
        <v>87300</v>
      </c>
      <c r="D217" s="340">
        <f t="shared" si="20"/>
        <v>0</v>
      </c>
      <c r="E217" s="188">
        <f t="shared" si="22"/>
        <v>100</v>
      </c>
      <c r="F217" s="107">
        <f>'Kiadások részletes COFOG'!F385</f>
        <v>87300</v>
      </c>
    </row>
    <row r="218" spans="1:6" ht="21.75" customHeight="1">
      <c r="A218" s="114" t="s">
        <v>246</v>
      </c>
      <c r="B218" s="195" t="s">
        <v>481</v>
      </c>
      <c r="C218" s="106">
        <v>0</v>
      </c>
      <c r="D218" s="340">
        <f t="shared" si="20"/>
        <v>0</v>
      </c>
      <c r="E218" s="188">
        <v>0</v>
      </c>
      <c r="F218" s="107">
        <f>'Kiadások részletes COFOG'!F388</f>
        <v>0</v>
      </c>
    </row>
    <row r="219" spans="1:6" ht="21.75" customHeight="1">
      <c r="A219" s="114" t="s">
        <v>248</v>
      </c>
      <c r="B219" s="195" t="s">
        <v>275</v>
      </c>
      <c r="C219" s="106">
        <v>0</v>
      </c>
      <c r="D219" s="340">
        <f t="shared" si="20"/>
        <v>0</v>
      </c>
      <c r="E219" s="188">
        <v>0</v>
      </c>
      <c r="F219" s="107">
        <f>'Kiadások részletes COFOG'!F389</f>
        <v>0</v>
      </c>
    </row>
    <row r="220" spans="1:6" ht="21.75" customHeight="1">
      <c r="A220" s="114" t="s">
        <v>250</v>
      </c>
      <c r="B220" s="195" t="s">
        <v>505</v>
      </c>
      <c r="C220" s="106">
        <v>0</v>
      </c>
      <c r="D220" s="340">
        <f t="shared" si="20"/>
        <v>0</v>
      </c>
      <c r="E220" s="188">
        <v>0</v>
      </c>
      <c r="F220" s="107">
        <f>'Kiadások részletes COFOG'!F390</f>
        <v>0</v>
      </c>
    </row>
    <row r="221" spans="1:6" ht="21.75" customHeight="1" thickBot="1">
      <c r="A221" s="101" t="s">
        <v>254</v>
      </c>
      <c r="B221" s="427" t="s">
        <v>276</v>
      </c>
      <c r="C221" s="379">
        <v>0</v>
      </c>
      <c r="D221" s="340">
        <f t="shared" si="20"/>
        <v>0</v>
      </c>
      <c r="E221" s="188">
        <v>0</v>
      </c>
      <c r="F221" s="380">
        <f>'Kiadások részletes COFOG'!F391</f>
        <v>0</v>
      </c>
    </row>
    <row r="222" spans="1:6" ht="21.75" customHeight="1" thickBot="1">
      <c r="A222" s="865" t="s">
        <v>278</v>
      </c>
      <c r="B222" s="865"/>
      <c r="C222" s="323">
        <f>SUM(C199:C221)</f>
        <v>7584300</v>
      </c>
      <c r="D222" s="323">
        <f>SUM(D199:D221)</f>
        <v>0</v>
      </c>
      <c r="E222" s="324">
        <f>F222/C222*100</f>
        <v>100</v>
      </c>
      <c r="F222" s="325">
        <f>SUM(F199:F221)</f>
        <v>7584300</v>
      </c>
    </row>
    <row r="223" spans="1:6" ht="21.75" customHeight="1" thickBot="1">
      <c r="A223" s="863" t="s">
        <v>427</v>
      </c>
      <c r="B223" s="864"/>
      <c r="C223" s="864"/>
      <c r="D223" s="864"/>
      <c r="E223" s="864"/>
      <c r="F223" s="866"/>
    </row>
    <row r="224" spans="1:6" ht="21.75" customHeight="1" thickBot="1">
      <c r="A224" s="856" t="s">
        <v>46</v>
      </c>
      <c r="B224" s="852" t="s">
        <v>47</v>
      </c>
      <c r="C224" s="854">
        <v>2023</v>
      </c>
      <c r="D224" s="857"/>
      <c r="E224" s="857"/>
      <c r="F224" s="858"/>
    </row>
    <row r="225" spans="1:14" ht="21.75" customHeight="1" thickBot="1">
      <c r="A225" s="856"/>
      <c r="B225" s="852"/>
      <c r="C225" s="140" t="s">
        <v>48</v>
      </c>
      <c r="D225" s="140" t="s">
        <v>508</v>
      </c>
      <c r="E225" s="140" t="s">
        <v>383</v>
      </c>
      <c r="F225" s="443" t="s">
        <v>509</v>
      </c>
    </row>
    <row r="226" spans="1:14" ht="21.75" customHeight="1" thickBot="1">
      <c r="A226" s="114" t="s">
        <v>200</v>
      </c>
      <c r="B226" s="87" t="s">
        <v>201</v>
      </c>
      <c r="C226" s="107">
        <v>128400</v>
      </c>
      <c r="D226" s="106">
        <f>F226-C226</f>
        <v>0</v>
      </c>
      <c r="E226" s="304">
        <f>F226/C226*100</f>
        <v>100</v>
      </c>
      <c r="F226" s="107">
        <f>SUM('Kiadások részletes COFOG'!F398)</f>
        <v>128400</v>
      </c>
    </row>
    <row r="227" spans="1:14" ht="21.75" customHeight="1" thickBot="1">
      <c r="A227" s="853" t="s">
        <v>278</v>
      </c>
      <c r="B227" s="853"/>
      <c r="C227" s="93">
        <f>SUM(C226:C226)</f>
        <v>128400</v>
      </c>
      <c r="D227" s="93">
        <f>D226</f>
        <v>0</v>
      </c>
      <c r="E227" s="302">
        <f>F227/C227*100</f>
        <v>100</v>
      </c>
      <c r="F227" s="94">
        <f>SUM(F226:F226)</f>
        <v>128400</v>
      </c>
    </row>
    <row r="228" spans="1:14" ht="21.75" customHeight="1" thickBot="1">
      <c r="A228" s="863" t="s">
        <v>602</v>
      </c>
      <c r="B228" s="864"/>
      <c r="C228" s="864"/>
      <c r="D228" s="864"/>
      <c r="E228" s="864"/>
      <c r="F228" s="864"/>
    </row>
    <row r="229" spans="1:14" ht="21.75" customHeight="1" thickBot="1">
      <c r="A229" s="856" t="s">
        <v>46</v>
      </c>
      <c r="B229" s="852" t="s">
        <v>47</v>
      </c>
      <c r="C229" s="854">
        <v>2023</v>
      </c>
      <c r="D229" s="857"/>
      <c r="E229" s="857"/>
      <c r="F229" s="858"/>
    </row>
    <row r="230" spans="1:14" ht="21.75" customHeight="1" thickBot="1">
      <c r="A230" s="856"/>
      <c r="B230" s="852"/>
      <c r="C230" s="728" t="s">
        <v>48</v>
      </c>
      <c r="D230" s="728" t="s">
        <v>508</v>
      </c>
      <c r="E230" s="728" t="s">
        <v>383</v>
      </c>
      <c r="F230" s="729" t="s">
        <v>509</v>
      </c>
    </row>
    <row r="231" spans="1:14" ht="21.75" customHeight="1">
      <c r="A231" s="355" t="s">
        <v>169</v>
      </c>
      <c r="B231" s="353" t="s">
        <v>170</v>
      </c>
      <c r="C231" s="381">
        <v>0</v>
      </c>
      <c r="D231" s="381">
        <v>0</v>
      </c>
      <c r="E231" s="381">
        <v>0</v>
      </c>
      <c r="F231" s="408">
        <v>0</v>
      </c>
    </row>
    <row r="232" spans="1:14" ht="21.75" customHeight="1" thickBot="1">
      <c r="A232" s="104" t="s">
        <v>212</v>
      </c>
      <c r="B232" s="105" t="s">
        <v>603</v>
      </c>
      <c r="C232" s="321">
        <v>0</v>
      </c>
      <c r="D232" s="321">
        <v>0</v>
      </c>
      <c r="E232" s="321">
        <v>0</v>
      </c>
      <c r="F232" s="730">
        <v>0</v>
      </c>
    </row>
    <row r="233" spans="1:14" ht="21.75" customHeight="1" thickBot="1">
      <c r="A233" s="853" t="s">
        <v>278</v>
      </c>
      <c r="B233" s="853"/>
      <c r="C233" s="93">
        <f>SUM(C231:C232)</f>
        <v>0</v>
      </c>
      <c r="D233" s="93">
        <v>0</v>
      </c>
      <c r="E233" s="93">
        <v>0</v>
      </c>
      <c r="F233" s="603">
        <f>SUM(F231:F232)</f>
        <v>0</v>
      </c>
    </row>
    <row r="234" spans="1:14" ht="26.25" customHeight="1" thickBot="1">
      <c r="A234" s="833" t="s">
        <v>430</v>
      </c>
      <c r="B234" s="833"/>
      <c r="C234" s="833"/>
      <c r="D234" s="833"/>
      <c r="E234" s="833"/>
      <c r="F234" s="833"/>
    </row>
    <row r="235" spans="1:14" ht="19.5" customHeight="1" thickBot="1">
      <c r="A235" s="856" t="s">
        <v>46</v>
      </c>
      <c r="B235" s="852" t="s">
        <v>47</v>
      </c>
      <c r="C235" s="854">
        <v>2023</v>
      </c>
      <c r="D235" s="857"/>
      <c r="E235" s="857"/>
      <c r="F235" s="858"/>
    </row>
    <row r="236" spans="1:14" ht="27" customHeight="1" thickBot="1">
      <c r="A236" s="856"/>
      <c r="B236" s="852"/>
      <c r="C236" s="140" t="s">
        <v>48</v>
      </c>
      <c r="D236" s="140" t="s">
        <v>508</v>
      </c>
      <c r="E236" s="140" t="s">
        <v>383</v>
      </c>
      <c r="F236" s="443" t="s">
        <v>509</v>
      </c>
    </row>
    <row r="237" spans="1:14" ht="21">
      <c r="A237" s="114" t="s">
        <v>153</v>
      </c>
      <c r="B237" s="87" t="s">
        <v>154</v>
      </c>
      <c r="C237" s="112">
        <v>0</v>
      </c>
      <c r="D237" s="112">
        <f t="shared" ref="D237:D244" si="23">F237-C237</f>
        <v>0</v>
      </c>
      <c r="E237" s="188">
        <v>0</v>
      </c>
      <c r="F237" s="113">
        <f>'Kiadások részletes COFOG'!F402</f>
        <v>0</v>
      </c>
    </row>
    <row r="238" spans="1:14" ht="15.95" customHeight="1">
      <c r="A238" s="114" t="s">
        <v>157</v>
      </c>
      <c r="B238" s="87" t="s">
        <v>158</v>
      </c>
      <c r="C238" s="106">
        <v>0</v>
      </c>
      <c r="D238" s="112">
        <f t="shared" si="23"/>
        <v>0</v>
      </c>
      <c r="E238" s="188">
        <v>0</v>
      </c>
      <c r="F238" s="107">
        <f>'Kiadások részletes COFOG'!F403</f>
        <v>0</v>
      </c>
      <c r="H238" s="149"/>
      <c r="I238" s="39"/>
      <c r="J238" s="39"/>
      <c r="K238" s="39"/>
      <c r="L238" s="39"/>
      <c r="M238" s="39"/>
      <c r="N238" s="39"/>
    </row>
    <row r="239" spans="1:14" ht="15.95" customHeight="1">
      <c r="A239" s="114" t="s">
        <v>159</v>
      </c>
      <c r="B239" s="87" t="s">
        <v>160</v>
      </c>
      <c r="C239" s="106">
        <v>0</v>
      </c>
      <c r="D239" s="112">
        <f t="shared" si="23"/>
        <v>0</v>
      </c>
      <c r="E239" s="188">
        <v>0</v>
      </c>
      <c r="F239" s="107">
        <v>0</v>
      </c>
    </row>
    <row r="240" spans="1:14" ht="15.95" customHeight="1">
      <c r="A240" s="114" t="s">
        <v>169</v>
      </c>
      <c r="B240" s="87" t="s">
        <v>170</v>
      </c>
      <c r="C240" s="106">
        <v>0</v>
      </c>
      <c r="D240" s="112">
        <f t="shared" si="23"/>
        <v>0</v>
      </c>
      <c r="E240" s="188">
        <v>0</v>
      </c>
      <c r="F240" s="107">
        <f>'Kiadások részletes COFOG'!F404</f>
        <v>0</v>
      </c>
      <c r="N240" s="77"/>
    </row>
    <row r="241" spans="1:16" ht="15.95" customHeight="1">
      <c r="A241" s="114" t="s">
        <v>204</v>
      </c>
      <c r="B241" s="87" t="s">
        <v>205</v>
      </c>
      <c r="C241" s="106">
        <v>0</v>
      </c>
      <c r="D241" s="112">
        <f t="shared" si="23"/>
        <v>0</v>
      </c>
      <c r="E241" s="188">
        <v>0</v>
      </c>
      <c r="F241" s="107">
        <f>'Kiadások részletes COFOG'!F405</f>
        <v>0</v>
      </c>
    </row>
    <row r="242" spans="1:16" ht="21" customHeight="1">
      <c r="A242" s="114" t="s">
        <v>212</v>
      </c>
      <c r="B242" s="87" t="s">
        <v>270</v>
      </c>
      <c r="C242" s="106">
        <v>0</v>
      </c>
      <c r="D242" s="112">
        <f t="shared" si="23"/>
        <v>0</v>
      </c>
      <c r="E242" s="188">
        <v>0</v>
      </c>
      <c r="F242" s="107">
        <f>'Kiadások részletes COFOG'!F406</f>
        <v>0</v>
      </c>
      <c r="K242" s="77"/>
    </row>
    <row r="243" spans="1:16" ht="20.25" customHeight="1">
      <c r="A243" s="114" t="s">
        <v>246</v>
      </c>
      <c r="B243" s="87" t="s">
        <v>481</v>
      </c>
      <c r="C243" s="106">
        <v>0</v>
      </c>
      <c r="D243" s="112">
        <f t="shared" si="23"/>
        <v>0</v>
      </c>
      <c r="E243" s="188">
        <v>0</v>
      </c>
      <c r="F243" s="107">
        <f>'Kiadások részletes COFOG'!F407</f>
        <v>0</v>
      </c>
      <c r="K243" s="77"/>
    </row>
    <row r="244" spans="1:16" ht="21" customHeight="1" thickBot="1">
      <c r="A244" s="101" t="s">
        <v>248</v>
      </c>
      <c r="B244" s="92" t="s">
        <v>275</v>
      </c>
      <c r="C244" s="379">
        <v>0</v>
      </c>
      <c r="D244" s="112">
        <f t="shared" si="23"/>
        <v>0</v>
      </c>
      <c r="E244" s="188">
        <v>0</v>
      </c>
      <c r="F244" s="380">
        <f>'Kiadások részletes COFOG'!F409</f>
        <v>0</v>
      </c>
      <c r="K244" s="77"/>
    </row>
    <row r="245" spans="1:16" ht="18.75" customHeight="1" thickBot="1">
      <c r="A245" s="853" t="s">
        <v>278</v>
      </c>
      <c r="B245" s="853"/>
      <c r="C245" s="93">
        <f>SUM(C237:C244)</f>
        <v>0</v>
      </c>
      <c r="D245" s="93">
        <f>SUM(D237:D244)</f>
        <v>0</v>
      </c>
      <c r="E245" s="302">
        <v>0</v>
      </c>
      <c r="F245" s="94">
        <f>SUM(F237:F244)</f>
        <v>0</v>
      </c>
    </row>
    <row r="246" spans="1:16" ht="24" customHeight="1" thickBot="1">
      <c r="A246" s="833" t="s">
        <v>294</v>
      </c>
      <c r="B246" s="833"/>
      <c r="C246" s="833"/>
      <c r="D246" s="833"/>
      <c r="E246" s="833"/>
      <c r="F246" s="833"/>
    </row>
    <row r="247" spans="1:16" ht="21" customHeight="1" thickBot="1">
      <c r="A247" s="856" t="s">
        <v>46</v>
      </c>
      <c r="B247" s="852" t="s">
        <v>47</v>
      </c>
      <c r="C247" s="854">
        <v>2023</v>
      </c>
      <c r="D247" s="857"/>
      <c r="E247" s="857"/>
      <c r="F247" s="858"/>
    </row>
    <row r="248" spans="1:16" ht="24" customHeight="1" thickBot="1">
      <c r="A248" s="856"/>
      <c r="B248" s="852"/>
      <c r="C248" s="140" t="s">
        <v>48</v>
      </c>
      <c r="D248" s="140" t="s">
        <v>508</v>
      </c>
      <c r="E248" s="140" t="s">
        <v>383</v>
      </c>
      <c r="F248" s="443" t="s">
        <v>509</v>
      </c>
    </row>
    <row r="249" spans="1:16" ht="26.25" customHeight="1" thickBot="1">
      <c r="A249" s="169" t="s">
        <v>238</v>
      </c>
      <c r="B249" s="105" t="s">
        <v>433</v>
      </c>
      <c r="C249" s="321">
        <v>5389700</v>
      </c>
      <c r="D249" s="321">
        <f>F249-C249</f>
        <v>900000</v>
      </c>
      <c r="E249" s="250">
        <f>F249/C249*100</f>
        <v>116.69851754272038</v>
      </c>
      <c r="F249" s="168">
        <f>'Kiadások részletes COFOG'!F433</f>
        <v>6289700</v>
      </c>
      <c r="G249" s="147"/>
    </row>
    <row r="250" spans="1:16" ht="24" customHeight="1" thickBot="1">
      <c r="A250" s="853" t="s">
        <v>278</v>
      </c>
      <c r="B250" s="853"/>
      <c r="C250" s="93">
        <f>SUM(C249)</f>
        <v>5389700</v>
      </c>
      <c r="D250" s="93">
        <f>SUM(D249)</f>
        <v>900000</v>
      </c>
      <c r="E250" s="305">
        <f>F250/C250*100</f>
        <v>116.69851754272038</v>
      </c>
      <c r="F250" s="94">
        <f>SUM(F249)</f>
        <v>6289700</v>
      </c>
    </row>
    <row r="251" spans="1:16" ht="24.75" customHeight="1" thickBot="1">
      <c r="A251" s="833" t="s">
        <v>136</v>
      </c>
      <c r="B251" s="833"/>
      <c r="C251" s="833"/>
      <c r="D251" s="833"/>
      <c r="E251" s="833"/>
      <c r="F251" s="833"/>
    </row>
    <row r="252" spans="1:16" ht="21.75" customHeight="1" thickBot="1">
      <c r="A252" s="856" t="s">
        <v>46</v>
      </c>
      <c r="B252" s="852" t="s">
        <v>47</v>
      </c>
      <c r="C252" s="854">
        <v>2023</v>
      </c>
      <c r="D252" s="857"/>
      <c r="E252" s="857"/>
      <c r="F252" s="858"/>
      <c r="M252" s="39"/>
      <c r="N252" s="39"/>
      <c r="O252" s="39"/>
      <c r="P252" s="39"/>
    </row>
    <row r="253" spans="1:16" ht="24.75" customHeight="1" thickBot="1">
      <c r="A253" s="856"/>
      <c r="B253" s="852"/>
      <c r="C253" s="140" t="s">
        <v>48</v>
      </c>
      <c r="D253" s="140" t="s">
        <v>508</v>
      </c>
      <c r="E253" s="140" t="s">
        <v>383</v>
      </c>
      <c r="F253" s="443" t="s">
        <v>509</v>
      </c>
      <c r="O253" s="170"/>
    </row>
    <row r="254" spans="1:16" ht="15.95" customHeight="1">
      <c r="A254" s="114" t="s">
        <v>141</v>
      </c>
      <c r="B254" s="87" t="s">
        <v>142</v>
      </c>
      <c r="C254" s="106">
        <v>6900000</v>
      </c>
      <c r="D254" s="106">
        <f t="shared" ref="D254:D270" si="24">F254-C254</f>
        <v>0</v>
      </c>
      <c r="E254" s="188">
        <f>F254/C254*100</f>
        <v>100</v>
      </c>
      <c r="F254" s="107">
        <f>'Kiadások részletes COFOG'!F442</f>
        <v>6900000</v>
      </c>
      <c r="L254" s="77"/>
      <c r="O254" s="171"/>
    </row>
    <row r="255" spans="1:16" ht="15.95" customHeight="1">
      <c r="A255" s="114" t="s">
        <v>423</v>
      </c>
      <c r="B255" s="87" t="s">
        <v>424</v>
      </c>
      <c r="C255" s="106">
        <v>150000</v>
      </c>
      <c r="D255" s="106">
        <f t="shared" si="24"/>
        <v>0</v>
      </c>
      <c r="E255" s="188">
        <f>F255/C255*100</f>
        <v>100</v>
      </c>
      <c r="F255" s="107">
        <f>'Kiadások részletes COFOG'!F443</f>
        <v>150000</v>
      </c>
      <c r="O255" s="171"/>
    </row>
    <row r="256" spans="1:16" ht="18.75" customHeight="1">
      <c r="A256" s="114" t="s">
        <v>147</v>
      </c>
      <c r="B256" s="87" t="s">
        <v>148</v>
      </c>
      <c r="C256" s="106">
        <v>0</v>
      </c>
      <c r="D256" s="106">
        <f t="shared" si="24"/>
        <v>0</v>
      </c>
      <c r="E256" s="188">
        <v>0</v>
      </c>
      <c r="F256" s="107">
        <f>'Kiadások részletes COFOG'!F446</f>
        <v>0</v>
      </c>
    </row>
    <row r="257" spans="1:15" ht="18.75" customHeight="1">
      <c r="A257" s="114" t="s">
        <v>149</v>
      </c>
      <c r="B257" s="87" t="s">
        <v>150</v>
      </c>
      <c r="C257" s="106">
        <v>160000</v>
      </c>
      <c r="D257" s="106">
        <f t="shared" si="24"/>
        <v>0</v>
      </c>
      <c r="E257" s="188">
        <f t="shared" ref="E257" si="25">F257/C257*100</f>
        <v>100</v>
      </c>
      <c r="F257" s="107">
        <f>SUM('Kiadások részletes COFOG'!F447)</f>
        <v>160000</v>
      </c>
    </row>
    <row r="258" spans="1:15" ht="21">
      <c r="A258" s="114" t="s">
        <v>153</v>
      </c>
      <c r="B258" s="87" t="s">
        <v>154</v>
      </c>
      <c r="C258" s="106">
        <v>0</v>
      </c>
      <c r="D258" s="106">
        <f t="shared" si="24"/>
        <v>360000</v>
      </c>
      <c r="E258" s="188">
        <v>0</v>
      </c>
      <c r="F258" s="107">
        <f>SUM('Kiadások részletes COFOG'!F452)</f>
        <v>360000</v>
      </c>
    </row>
    <row r="259" spans="1:15" ht="15.95" customHeight="1">
      <c r="A259" s="114" t="s">
        <v>157</v>
      </c>
      <c r="B259" s="87" t="s">
        <v>158</v>
      </c>
      <c r="C259" s="106">
        <v>1100000</v>
      </c>
      <c r="D259" s="106">
        <f t="shared" si="24"/>
        <v>0</v>
      </c>
      <c r="E259" s="188">
        <f>F259/C259*100</f>
        <v>100</v>
      </c>
      <c r="F259" s="107">
        <f>'Kiadások részletes COFOG'!F457</f>
        <v>1100000</v>
      </c>
      <c r="K259" s="77"/>
      <c r="L259" s="77"/>
      <c r="O259" s="171"/>
    </row>
    <row r="260" spans="1:15" ht="15.95" customHeight="1">
      <c r="A260" s="114" t="s">
        <v>169</v>
      </c>
      <c r="B260" s="87" t="s">
        <v>170</v>
      </c>
      <c r="C260" s="112">
        <v>1260000</v>
      </c>
      <c r="D260" s="106">
        <f t="shared" si="24"/>
        <v>-243027</v>
      </c>
      <c r="E260" s="188">
        <f>F260/C260*100</f>
        <v>80.712142857142851</v>
      </c>
      <c r="F260" s="113">
        <f>'Kiadások részletes COFOG'!F463</f>
        <v>1016973</v>
      </c>
      <c r="M260" s="172"/>
      <c r="N260" s="39"/>
      <c r="O260" s="173"/>
    </row>
    <row r="261" spans="1:15" ht="15.95" customHeight="1">
      <c r="A261" s="114" t="s">
        <v>604</v>
      </c>
      <c r="B261" s="87" t="s">
        <v>287</v>
      </c>
      <c r="C261" s="112">
        <v>300000</v>
      </c>
      <c r="D261" s="106">
        <f t="shared" si="24"/>
        <v>0</v>
      </c>
      <c r="E261" s="188">
        <f t="shared" ref="E261:E266" si="26">F261/C261*100</f>
        <v>100</v>
      </c>
      <c r="F261" s="113">
        <f>SUM('Kiadások részletes COFOG'!F464)</f>
        <v>300000</v>
      </c>
      <c r="M261" s="172"/>
      <c r="N261" s="39"/>
      <c r="O261" s="173"/>
    </row>
    <row r="262" spans="1:15" ht="15.95" customHeight="1">
      <c r="A262" s="114" t="s">
        <v>194</v>
      </c>
      <c r="B262" s="87" t="s">
        <v>195</v>
      </c>
      <c r="C262" s="112">
        <v>18000000</v>
      </c>
      <c r="D262" s="106">
        <f t="shared" si="24"/>
        <v>0</v>
      </c>
      <c r="E262" s="188">
        <f t="shared" si="26"/>
        <v>100</v>
      </c>
      <c r="F262" s="113">
        <f>'Kiadások részletes COFOG'!F465</f>
        <v>18000000</v>
      </c>
      <c r="G262" s="147"/>
    </row>
    <row r="263" spans="1:15" ht="15.95" customHeight="1">
      <c r="A263" s="114" t="s">
        <v>198</v>
      </c>
      <c r="B263" s="87" t="s">
        <v>199</v>
      </c>
      <c r="C263" s="112">
        <v>300000</v>
      </c>
      <c r="D263" s="106">
        <f t="shared" si="24"/>
        <v>-150000</v>
      </c>
      <c r="E263" s="188">
        <f t="shared" si="26"/>
        <v>50</v>
      </c>
      <c r="F263" s="113">
        <f>('Kiadások részletes COFOG'!F466)</f>
        <v>150000</v>
      </c>
      <c r="G263" s="147"/>
    </row>
    <row r="264" spans="1:15" ht="15.95" customHeight="1">
      <c r="A264" s="114" t="s">
        <v>200</v>
      </c>
      <c r="B264" s="87" t="s">
        <v>201</v>
      </c>
      <c r="C264" s="112">
        <v>25000</v>
      </c>
      <c r="D264" s="106">
        <f t="shared" si="24"/>
        <v>0</v>
      </c>
      <c r="E264" s="188">
        <f t="shared" si="26"/>
        <v>100</v>
      </c>
      <c r="F264" s="113">
        <f>'Kiadások részletes COFOG'!F470</f>
        <v>25000</v>
      </c>
      <c r="G264" s="147"/>
    </row>
    <row r="265" spans="1:15" ht="15.95" customHeight="1">
      <c r="A265" s="114" t="s">
        <v>204</v>
      </c>
      <c r="B265" s="87" t="s">
        <v>408</v>
      </c>
      <c r="C265" s="112">
        <v>50000</v>
      </c>
      <c r="D265" s="106">
        <f t="shared" si="24"/>
        <v>0</v>
      </c>
      <c r="E265" s="188">
        <f t="shared" si="26"/>
        <v>100</v>
      </c>
      <c r="F265" s="113">
        <f>'Kiadások részletes COFOG'!F472</f>
        <v>50000</v>
      </c>
    </row>
    <row r="266" spans="1:15" ht="21.75" customHeight="1">
      <c r="A266" s="114" t="s">
        <v>212</v>
      </c>
      <c r="B266" s="87" t="s">
        <v>270</v>
      </c>
      <c r="C266" s="112">
        <v>5350000</v>
      </c>
      <c r="D266" s="106">
        <f t="shared" si="24"/>
        <v>-20000</v>
      </c>
      <c r="E266" s="188">
        <f t="shared" si="26"/>
        <v>99.626168224299064</v>
      </c>
      <c r="F266" s="113">
        <f>'Kiadások részletes COFOG'!F473</f>
        <v>5330000</v>
      </c>
    </row>
    <row r="267" spans="1:15" ht="18" customHeight="1">
      <c r="A267" s="91" t="s">
        <v>246</v>
      </c>
      <c r="B267" s="92" t="s">
        <v>350</v>
      </c>
      <c r="C267" s="174">
        <v>0</v>
      </c>
      <c r="D267" s="106">
        <f t="shared" si="24"/>
        <v>0</v>
      </c>
      <c r="E267" s="188"/>
      <c r="F267" s="175">
        <f>'Kiadások részletes COFOG'!F475</f>
        <v>0</v>
      </c>
    </row>
    <row r="268" spans="1:15" ht="21.75" customHeight="1">
      <c r="A268" s="91" t="s">
        <v>248</v>
      </c>
      <c r="B268" s="92" t="s">
        <v>275</v>
      </c>
      <c r="C268" s="174">
        <v>0</v>
      </c>
      <c r="D268" s="106">
        <f t="shared" si="24"/>
        <v>0</v>
      </c>
      <c r="E268" s="188"/>
      <c r="F268" s="175">
        <f>'Kiadások részletes COFOG'!F476</f>
        <v>0</v>
      </c>
    </row>
    <row r="269" spans="1:15" ht="21.75" customHeight="1">
      <c r="A269" s="91" t="s">
        <v>296</v>
      </c>
      <c r="B269" s="92" t="s">
        <v>251</v>
      </c>
      <c r="C269" s="174">
        <v>0</v>
      </c>
      <c r="D269" s="106">
        <f t="shared" si="24"/>
        <v>0</v>
      </c>
      <c r="E269" s="188"/>
      <c r="F269" s="175">
        <f>'Kiadások részletes COFOG'!F477</f>
        <v>0</v>
      </c>
    </row>
    <row r="270" spans="1:15" ht="22.5" customHeight="1" thickBot="1">
      <c r="A270" s="91" t="s">
        <v>297</v>
      </c>
      <c r="B270" s="92" t="s">
        <v>276</v>
      </c>
      <c r="C270" s="174">
        <v>0</v>
      </c>
      <c r="D270" s="106">
        <f t="shared" si="24"/>
        <v>0</v>
      </c>
      <c r="E270" s="188"/>
      <c r="F270" s="175">
        <f>'Kiadások részletes COFOG'!F478</f>
        <v>0</v>
      </c>
      <c r="G270" s="39"/>
      <c r="H270" s="149"/>
      <c r="I270" s="39"/>
      <c r="J270" s="39"/>
      <c r="K270" s="39"/>
      <c r="L270" s="39"/>
      <c r="M270" s="39"/>
      <c r="N270" s="39"/>
      <c r="O270" s="39"/>
    </row>
    <row r="271" spans="1:15" ht="23.25" customHeight="1" thickBot="1">
      <c r="A271" s="853" t="s">
        <v>278</v>
      </c>
      <c r="B271" s="853"/>
      <c r="C271" s="176">
        <f>SUM(C254:C270)</f>
        <v>33595000</v>
      </c>
      <c r="D271" s="176">
        <f>SUM(D254:D270)</f>
        <v>-53027</v>
      </c>
      <c r="E271" s="306">
        <f>F271/C271*100</f>
        <v>99.842158059235004</v>
      </c>
      <c r="F271" s="177">
        <f>SUM(F254:F270)</f>
        <v>33541973</v>
      </c>
    </row>
    <row r="272" spans="1:15" ht="24" customHeight="1" thickBot="1">
      <c r="A272" s="833" t="s">
        <v>598</v>
      </c>
      <c r="B272" s="833"/>
      <c r="C272" s="833"/>
      <c r="D272" s="833"/>
      <c r="E272" s="833"/>
      <c r="F272" s="833"/>
    </row>
    <row r="273" spans="1:6" ht="24" customHeight="1" thickBot="1">
      <c r="A273" s="856" t="s">
        <v>46</v>
      </c>
      <c r="B273" s="852" t="s">
        <v>47</v>
      </c>
      <c r="C273" s="854">
        <v>2023</v>
      </c>
      <c r="D273" s="857"/>
      <c r="E273" s="857"/>
      <c r="F273" s="858"/>
    </row>
    <row r="274" spans="1:6" ht="24" customHeight="1" thickBot="1">
      <c r="A274" s="856"/>
      <c r="B274" s="852"/>
      <c r="C274" s="140" t="s">
        <v>48</v>
      </c>
      <c r="D274" s="140" t="s">
        <v>508</v>
      </c>
      <c r="E274" s="140" t="s">
        <v>383</v>
      </c>
      <c r="F274" s="443" t="s">
        <v>509</v>
      </c>
    </row>
    <row r="275" spans="1:6" ht="24" customHeight="1">
      <c r="A275" s="91" t="s">
        <v>169</v>
      </c>
      <c r="B275" s="92" t="s">
        <v>170</v>
      </c>
      <c r="C275" s="95">
        <v>0</v>
      </c>
      <c r="D275" s="95">
        <v>0</v>
      </c>
      <c r="E275" s="218">
        <v>0</v>
      </c>
      <c r="F275" s="96">
        <v>0</v>
      </c>
    </row>
    <row r="276" spans="1:6" ht="24" customHeight="1">
      <c r="A276" s="91" t="s">
        <v>194</v>
      </c>
      <c r="B276" s="92" t="s">
        <v>195</v>
      </c>
      <c r="C276" s="95">
        <v>0</v>
      </c>
      <c r="D276" s="95">
        <v>0</v>
      </c>
      <c r="E276" s="218">
        <v>0</v>
      </c>
      <c r="F276" s="96">
        <v>0</v>
      </c>
    </row>
    <row r="277" spans="1:6" ht="24" customHeight="1">
      <c r="A277" s="91" t="s">
        <v>204</v>
      </c>
      <c r="B277" s="92" t="s">
        <v>205</v>
      </c>
      <c r="C277" s="95">
        <v>0</v>
      </c>
      <c r="D277" s="95">
        <v>0</v>
      </c>
      <c r="E277" s="218">
        <v>0</v>
      </c>
      <c r="F277" s="96">
        <v>0</v>
      </c>
    </row>
    <row r="278" spans="1:6" ht="24" customHeight="1" thickBot="1">
      <c r="A278" s="91" t="s">
        <v>212</v>
      </c>
      <c r="B278" s="92" t="s">
        <v>599</v>
      </c>
      <c r="C278" s="95">
        <v>0</v>
      </c>
      <c r="D278" s="95">
        <v>0</v>
      </c>
      <c r="E278" s="218">
        <v>0</v>
      </c>
      <c r="F278" s="96">
        <v>0</v>
      </c>
    </row>
    <row r="279" spans="1:6" ht="24" customHeight="1" thickBot="1">
      <c r="A279" s="853" t="s">
        <v>278</v>
      </c>
      <c r="B279" s="853"/>
      <c r="C279" s="93">
        <f>SUM(C275:C278)</f>
        <v>0</v>
      </c>
      <c r="D279" s="93">
        <v>0</v>
      </c>
      <c r="E279" s="302">
        <v>0</v>
      </c>
      <c r="F279" s="94">
        <v>0</v>
      </c>
    </row>
    <row r="280" spans="1:6" ht="26.25" customHeight="1" thickBot="1">
      <c r="A280" s="833" t="s">
        <v>451</v>
      </c>
      <c r="B280" s="833"/>
      <c r="C280" s="833"/>
      <c r="D280" s="833"/>
      <c r="E280" s="833"/>
      <c r="F280" s="833"/>
    </row>
    <row r="281" spans="1:6" ht="17.25" customHeight="1" thickBot="1">
      <c r="A281" s="856" t="s">
        <v>46</v>
      </c>
      <c r="B281" s="852" t="s">
        <v>47</v>
      </c>
      <c r="C281" s="854">
        <v>2023</v>
      </c>
      <c r="D281" s="857"/>
      <c r="E281" s="857"/>
      <c r="F281" s="858"/>
    </row>
    <row r="282" spans="1:6" ht="25.5" customHeight="1" thickBot="1">
      <c r="A282" s="856"/>
      <c r="B282" s="852"/>
      <c r="C282" s="140" t="s">
        <v>48</v>
      </c>
      <c r="D282" s="140" t="s">
        <v>508</v>
      </c>
      <c r="E282" s="140" t="s">
        <v>383</v>
      </c>
      <c r="F282" s="443" t="s">
        <v>509</v>
      </c>
    </row>
    <row r="283" spans="1:6" ht="21" customHeight="1">
      <c r="A283" s="91" t="s">
        <v>194</v>
      </c>
      <c r="B283" s="92" t="s">
        <v>452</v>
      </c>
      <c r="C283" s="95">
        <v>1800000</v>
      </c>
      <c r="D283" s="95">
        <f>F283-C283</f>
        <v>0</v>
      </c>
      <c r="E283" s="218">
        <f>F283/C283*100</f>
        <v>100</v>
      </c>
      <c r="F283" s="96">
        <f>'Kiadások részletes COFOG'!F488</f>
        <v>1800000</v>
      </c>
    </row>
    <row r="284" spans="1:6" ht="21" customHeight="1" thickBot="1">
      <c r="A284" s="91" t="s">
        <v>212</v>
      </c>
      <c r="B284" s="150" t="s">
        <v>270</v>
      </c>
      <c r="C284" s="95">
        <v>486000</v>
      </c>
      <c r="D284" s="95">
        <f>F284-C284</f>
        <v>0</v>
      </c>
      <c r="E284" s="218">
        <f>F284/C284*100</f>
        <v>100</v>
      </c>
      <c r="F284" s="96">
        <f>'Kiadások részletes COFOG'!F489</f>
        <v>486000</v>
      </c>
    </row>
    <row r="285" spans="1:6" ht="19.5" customHeight="1" thickBot="1">
      <c r="A285" s="853" t="s">
        <v>278</v>
      </c>
      <c r="B285" s="853"/>
      <c r="C285" s="93">
        <f>SUM(C283:C284)</f>
        <v>2286000</v>
      </c>
      <c r="D285" s="93">
        <f>D283+D284</f>
        <v>0</v>
      </c>
      <c r="E285" s="302">
        <f>F285/C285*100</f>
        <v>100</v>
      </c>
      <c r="F285" s="94">
        <f>F283+F284</f>
        <v>2286000</v>
      </c>
    </row>
    <row r="286" spans="1:6" ht="22.5" hidden="1" customHeight="1" thickBot="1">
      <c r="A286" s="833" t="s">
        <v>298</v>
      </c>
      <c r="B286" s="833"/>
      <c r="C286" s="833"/>
      <c r="D286" s="833"/>
      <c r="E286" s="833"/>
      <c r="F286" s="833"/>
    </row>
    <row r="287" spans="1:6" ht="19.5" hidden="1" customHeight="1" thickBot="1">
      <c r="A287" s="856" t="s">
        <v>46</v>
      </c>
      <c r="B287" s="852" t="s">
        <v>47</v>
      </c>
      <c r="C287" s="854">
        <v>2021</v>
      </c>
      <c r="D287" s="855"/>
      <c r="E287" s="855"/>
      <c r="F287" s="444">
        <v>2022</v>
      </c>
    </row>
    <row r="288" spans="1:6" ht="21.75" hidden="1" customHeight="1" thickBot="1">
      <c r="A288" s="856"/>
      <c r="B288" s="852"/>
      <c r="C288" s="140" t="s">
        <v>48</v>
      </c>
      <c r="D288" s="140" t="s">
        <v>508</v>
      </c>
      <c r="E288" s="140" t="s">
        <v>383</v>
      </c>
      <c r="F288" s="443" t="s">
        <v>509</v>
      </c>
    </row>
    <row r="289" spans="1:11" ht="19.5" hidden="1" customHeight="1">
      <c r="A289" s="145" t="s">
        <v>194</v>
      </c>
      <c r="B289" s="179" t="s">
        <v>195</v>
      </c>
      <c r="C289" s="106">
        <v>0</v>
      </c>
      <c r="D289" s="106">
        <v>0</v>
      </c>
      <c r="E289" s="188">
        <v>0</v>
      </c>
      <c r="F289" s="107">
        <f>'Kiadások részletes COFOG'!F499</f>
        <v>0</v>
      </c>
    </row>
    <row r="290" spans="1:11" ht="21.75" hidden="1" thickBot="1">
      <c r="A290" s="145" t="s">
        <v>212</v>
      </c>
      <c r="B290" s="179" t="s">
        <v>270</v>
      </c>
      <c r="C290" s="106">
        <v>0</v>
      </c>
      <c r="D290" s="106">
        <v>0</v>
      </c>
      <c r="E290" s="188">
        <v>0</v>
      </c>
      <c r="F290" s="107">
        <f>'Kiadások részletes COFOG'!F500</f>
        <v>0</v>
      </c>
    </row>
    <row r="291" spans="1:11" ht="19.5" hidden="1" customHeight="1" thickBot="1">
      <c r="A291" s="853" t="s">
        <v>278</v>
      </c>
      <c r="B291" s="853"/>
      <c r="C291" s="93">
        <f>SUM(C289:C290)</f>
        <v>0</v>
      </c>
      <c r="D291" s="93">
        <f>SUM(D289:D290)</f>
        <v>0</v>
      </c>
      <c r="E291" s="302">
        <v>0</v>
      </c>
      <c r="F291" s="94">
        <f>SUM(F289:F290)</f>
        <v>0</v>
      </c>
    </row>
    <row r="292" spans="1:11" ht="23.25" hidden="1" customHeight="1" thickBot="1">
      <c r="A292" s="833" t="s">
        <v>138</v>
      </c>
      <c r="B292" s="833"/>
      <c r="C292" s="833"/>
      <c r="D292" s="833"/>
      <c r="E292" s="833"/>
      <c r="F292" s="833"/>
    </row>
    <row r="293" spans="1:11" ht="16.5" hidden="1" customHeight="1" thickBot="1">
      <c r="A293" s="856" t="s">
        <v>46</v>
      </c>
      <c r="B293" s="852" t="s">
        <v>47</v>
      </c>
      <c r="C293" s="854">
        <v>2021</v>
      </c>
      <c r="D293" s="855"/>
      <c r="E293" s="855"/>
      <c r="F293" s="444">
        <v>2022</v>
      </c>
    </row>
    <row r="294" spans="1:11" ht="25.5" hidden="1" customHeight="1" thickBot="1">
      <c r="A294" s="856"/>
      <c r="B294" s="852"/>
      <c r="C294" s="140" t="s">
        <v>48</v>
      </c>
      <c r="D294" s="140" t="s">
        <v>508</v>
      </c>
      <c r="E294" s="140" t="s">
        <v>383</v>
      </c>
      <c r="F294" s="443" t="s">
        <v>509</v>
      </c>
    </row>
    <row r="295" spans="1:11" ht="25.5" hidden="1" customHeight="1" thickBot="1">
      <c r="A295" s="152" t="s">
        <v>220</v>
      </c>
      <c r="B295" s="153" t="s">
        <v>299</v>
      </c>
      <c r="C295" s="267">
        <v>0</v>
      </c>
      <c r="D295" s="154">
        <f>F295-C295</f>
        <v>0</v>
      </c>
      <c r="E295" s="218">
        <v>0</v>
      </c>
      <c r="F295" s="180">
        <f>'Kiadások részletes COFOG'!F494</f>
        <v>0</v>
      </c>
    </row>
    <row r="296" spans="1:11" ht="21" hidden="1" customHeight="1" thickBot="1">
      <c r="A296" s="853" t="s">
        <v>278</v>
      </c>
      <c r="B296" s="853"/>
      <c r="C296" s="93">
        <v>0</v>
      </c>
      <c r="D296" s="93">
        <f>SUM(D295:D295)</f>
        <v>0</v>
      </c>
      <c r="E296" s="302">
        <v>0</v>
      </c>
      <c r="F296" s="94">
        <f>SUM(F295:F295)</f>
        <v>0</v>
      </c>
    </row>
    <row r="297" spans="1:11" ht="24.75" customHeight="1" thickBot="1">
      <c r="A297" s="833" t="s">
        <v>453</v>
      </c>
      <c r="B297" s="833"/>
      <c r="C297" s="833"/>
      <c r="D297" s="833"/>
      <c r="E297" s="833"/>
      <c r="F297" s="833"/>
    </row>
    <row r="298" spans="1:11" ht="15.75" customHeight="1" thickBot="1">
      <c r="A298" s="856" t="s">
        <v>46</v>
      </c>
      <c r="B298" s="852" t="s">
        <v>47</v>
      </c>
      <c r="C298" s="854">
        <v>2023</v>
      </c>
      <c r="D298" s="857"/>
      <c r="E298" s="857"/>
      <c r="F298" s="858"/>
    </row>
    <row r="299" spans="1:11" ht="24" customHeight="1" thickBot="1">
      <c r="A299" s="860"/>
      <c r="B299" s="861"/>
      <c r="C299" s="140" t="s">
        <v>48</v>
      </c>
      <c r="D299" s="140" t="s">
        <v>508</v>
      </c>
      <c r="E299" s="140" t="s">
        <v>383</v>
      </c>
      <c r="F299" s="443" t="s">
        <v>509</v>
      </c>
    </row>
    <row r="300" spans="1:11" ht="24" customHeight="1">
      <c r="A300" s="436" t="s">
        <v>503</v>
      </c>
      <c r="B300" s="434" t="s">
        <v>414</v>
      </c>
      <c r="C300" s="174">
        <v>0</v>
      </c>
      <c r="D300" s="174">
        <f t="shared" ref="D300:D306" si="27">F300-C300</f>
        <v>0</v>
      </c>
      <c r="E300" s="430"/>
      <c r="F300" s="432">
        <f>'Kiadások részletes COFOG'!F505</f>
        <v>0</v>
      </c>
    </row>
    <row r="301" spans="1:11" ht="24" customHeight="1">
      <c r="A301" s="82" t="s">
        <v>423</v>
      </c>
      <c r="B301" s="83" t="s">
        <v>601</v>
      </c>
      <c r="C301" s="174">
        <v>0</v>
      </c>
      <c r="D301" s="174">
        <f t="shared" si="27"/>
        <v>0</v>
      </c>
      <c r="E301" s="610"/>
      <c r="F301" s="611">
        <f>SUM('Kiadások részletes COFOG'!F506)</f>
        <v>0</v>
      </c>
    </row>
    <row r="302" spans="1:11" ht="24" customHeight="1">
      <c r="A302" s="489" t="s">
        <v>147</v>
      </c>
      <c r="B302" s="490" t="s">
        <v>148</v>
      </c>
      <c r="C302" s="174">
        <v>0</v>
      </c>
      <c r="D302" s="174">
        <f t="shared" si="27"/>
        <v>0</v>
      </c>
      <c r="E302" s="545"/>
      <c r="F302" s="546">
        <f>SUM('Kiadások részletes COFOG'!F507)</f>
        <v>0</v>
      </c>
    </row>
    <row r="303" spans="1:11" ht="24" customHeight="1">
      <c r="A303" s="86" t="s">
        <v>153</v>
      </c>
      <c r="B303" s="87" t="s">
        <v>154</v>
      </c>
      <c r="C303" s="112">
        <v>1980000</v>
      </c>
      <c r="D303" s="112">
        <f t="shared" si="27"/>
        <v>0</v>
      </c>
      <c r="E303" s="545"/>
      <c r="F303" s="546">
        <f>SUM('Kiadások részletes COFOG'!F508)</f>
        <v>1980000</v>
      </c>
    </row>
    <row r="304" spans="1:11" ht="24" customHeight="1">
      <c r="A304" s="363" t="s">
        <v>347</v>
      </c>
      <c r="B304" s="435" t="s">
        <v>158</v>
      </c>
      <c r="C304" s="675">
        <v>260000</v>
      </c>
      <c r="D304" s="675">
        <f t="shared" si="27"/>
        <v>0</v>
      </c>
      <c r="E304" s="431"/>
      <c r="F304" s="433">
        <f>SUM('Kiadások részletes COFOG'!F511:F512)</f>
        <v>260000</v>
      </c>
      <c r="K304" s="77"/>
    </row>
    <row r="305" spans="1:15" ht="24" customHeight="1">
      <c r="A305" s="114" t="s">
        <v>200</v>
      </c>
      <c r="B305" s="87" t="s">
        <v>201</v>
      </c>
      <c r="C305" s="174">
        <v>0</v>
      </c>
      <c r="D305" s="174">
        <f t="shared" si="27"/>
        <v>0</v>
      </c>
      <c r="E305" s="428"/>
      <c r="F305" s="113">
        <f>'Kiadások részletes COFOG'!F513</f>
        <v>0</v>
      </c>
    </row>
    <row r="306" spans="1:15" ht="24.75" customHeight="1" thickBot="1">
      <c r="A306" s="91" t="s">
        <v>230</v>
      </c>
      <c r="B306" s="92" t="s">
        <v>271</v>
      </c>
      <c r="C306" s="174">
        <v>0</v>
      </c>
      <c r="D306" s="174">
        <f t="shared" si="27"/>
        <v>0</v>
      </c>
      <c r="E306" s="428"/>
      <c r="F306" s="676">
        <f>'Kiadások részletes COFOG'!F514</f>
        <v>0</v>
      </c>
      <c r="G306" s="157"/>
      <c r="L306" s="39"/>
    </row>
    <row r="307" spans="1:15" ht="21.75" customHeight="1" thickBot="1">
      <c r="A307" s="853" t="s">
        <v>278</v>
      </c>
      <c r="B307" s="853"/>
      <c r="C307" s="178">
        <f>SUM(C300:C306)</f>
        <v>2240000</v>
      </c>
      <c r="D307" s="178">
        <f>SUM(D300:D306)</f>
        <v>0</v>
      </c>
      <c r="E307" s="429">
        <f>F307/C307*100</f>
        <v>100</v>
      </c>
      <c r="F307" s="177">
        <f>SUM(F300:F306)</f>
        <v>2240000</v>
      </c>
    </row>
    <row r="308" spans="1:15" ht="24.75" customHeight="1" thickBot="1">
      <c r="A308" s="827" t="s">
        <v>301</v>
      </c>
      <c r="B308" s="827"/>
      <c r="C308" s="827"/>
      <c r="D308" s="827"/>
      <c r="E308" s="827"/>
      <c r="F308" s="827"/>
    </row>
    <row r="309" spans="1:15" ht="18.75" customHeight="1" thickBot="1">
      <c r="A309" s="856" t="s">
        <v>46</v>
      </c>
      <c r="B309" s="852" t="s">
        <v>47</v>
      </c>
      <c r="C309" s="854">
        <v>2023</v>
      </c>
      <c r="D309" s="857"/>
      <c r="E309" s="857"/>
      <c r="F309" s="858"/>
    </row>
    <row r="310" spans="1:15" ht="25.5" customHeight="1" thickBot="1">
      <c r="A310" s="856"/>
      <c r="B310" s="852"/>
      <c r="C310" s="140" t="s">
        <v>48</v>
      </c>
      <c r="D310" s="140" t="s">
        <v>508</v>
      </c>
      <c r="E310" s="140" t="s">
        <v>383</v>
      </c>
      <c r="F310" s="443" t="s">
        <v>509</v>
      </c>
    </row>
    <row r="311" spans="1:15" ht="21" customHeight="1">
      <c r="A311" s="152" t="s">
        <v>169</v>
      </c>
      <c r="B311" s="153" t="s">
        <v>302</v>
      </c>
      <c r="C311" s="154">
        <v>116000</v>
      </c>
      <c r="D311" s="154">
        <f t="shared" ref="D311:D317" si="28">F311-C311</f>
        <v>1884000</v>
      </c>
      <c r="E311" s="303">
        <v>0</v>
      </c>
      <c r="F311" s="155">
        <f>'Kiadások részletes COFOG'!F519</f>
        <v>2000000</v>
      </c>
    </row>
    <row r="312" spans="1:15" ht="21" customHeight="1">
      <c r="A312" s="152" t="s">
        <v>196</v>
      </c>
      <c r="B312" s="153" t="s">
        <v>197</v>
      </c>
      <c r="C312" s="154">
        <v>0</v>
      </c>
      <c r="D312" s="154">
        <f t="shared" si="28"/>
        <v>0</v>
      </c>
      <c r="E312" s="303">
        <v>0</v>
      </c>
      <c r="F312" s="155">
        <v>0</v>
      </c>
    </row>
    <row r="313" spans="1:15" ht="18.75" customHeight="1">
      <c r="A313" s="152" t="s">
        <v>204</v>
      </c>
      <c r="B313" s="153" t="s">
        <v>303</v>
      </c>
      <c r="C313" s="154">
        <v>300000</v>
      </c>
      <c r="D313" s="154">
        <f t="shared" si="28"/>
        <v>0</v>
      </c>
      <c r="E313" s="303">
        <v>0</v>
      </c>
      <c r="F313" s="155">
        <f>'Kiadások részletes COFOG'!F520</f>
        <v>300000</v>
      </c>
    </row>
    <row r="314" spans="1:15" ht="18" customHeight="1">
      <c r="A314" s="152" t="s">
        <v>212</v>
      </c>
      <c r="B314" s="153" t="s">
        <v>304</v>
      </c>
      <c r="C314" s="154">
        <v>113000</v>
      </c>
      <c r="D314" s="154">
        <f t="shared" si="28"/>
        <v>487000</v>
      </c>
      <c r="E314" s="303">
        <v>0</v>
      </c>
      <c r="F314" s="155">
        <f>'Kiadások részletes COFOG'!F521</f>
        <v>600000</v>
      </c>
    </row>
    <row r="315" spans="1:15" ht="18" customHeight="1">
      <c r="A315" s="152" t="s">
        <v>456</v>
      </c>
      <c r="B315" s="153" t="s">
        <v>462</v>
      </c>
      <c r="C315" s="154">
        <v>0</v>
      </c>
      <c r="D315" s="154">
        <f t="shared" si="28"/>
        <v>0</v>
      </c>
      <c r="E315" s="303">
        <v>0</v>
      </c>
      <c r="F315" s="155">
        <f>'Kiadások részletes COFOG'!F522</f>
        <v>0</v>
      </c>
    </row>
    <row r="316" spans="1:15" ht="24" customHeight="1">
      <c r="A316" s="114" t="s">
        <v>456</v>
      </c>
      <c r="B316" s="87" t="s">
        <v>305</v>
      </c>
      <c r="C316" s="106">
        <v>6300000</v>
      </c>
      <c r="D316" s="154">
        <f t="shared" si="28"/>
        <v>0</v>
      </c>
      <c r="E316" s="303">
        <v>0</v>
      </c>
      <c r="F316" s="107">
        <f>'Kiadások részletes COFOG'!F523</f>
        <v>6300000</v>
      </c>
    </row>
    <row r="317" spans="1:15" ht="21" customHeight="1" thickBot="1">
      <c r="A317" s="91" t="s">
        <v>456</v>
      </c>
      <c r="B317" s="92" t="s">
        <v>300</v>
      </c>
      <c r="C317" s="95">
        <v>5500000</v>
      </c>
      <c r="D317" s="154">
        <f t="shared" si="28"/>
        <v>0</v>
      </c>
      <c r="E317" s="303">
        <v>0</v>
      </c>
      <c r="F317" s="96">
        <f>'Kiadások részletes COFOG'!F525</f>
        <v>5500000</v>
      </c>
      <c r="M317" s="183"/>
      <c r="N317" s="183"/>
      <c r="O317" s="182"/>
    </row>
    <row r="318" spans="1:15" ht="19.5" customHeight="1" thickBot="1">
      <c r="A318" s="853" t="s">
        <v>278</v>
      </c>
      <c r="B318" s="853"/>
      <c r="C318" s="93">
        <f>SUM(C311:C317)</f>
        <v>12329000</v>
      </c>
      <c r="D318" s="93">
        <f>SUM(D311:D317)</f>
        <v>2371000</v>
      </c>
      <c r="E318" s="302">
        <f>F318/C318*100</f>
        <v>119.23108119068861</v>
      </c>
      <c r="F318" s="94">
        <f>SUM(F311:F317)</f>
        <v>14700000</v>
      </c>
      <c r="M318" s="862"/>
      <c r="N318" s="862"/>
      <c r="O318" s="182"/>
    </row>
    <row r="319" spans="1:15">
      <c r="M319" s="862"/>
      <c r="N319" s="862"/>
      <c r="O319" s="182"/>
    </row>
    <row r="320" spans="1:15" ht="6.75" customHeight="1">
      <c r="M320" s="862"/>
      <c r="N320" s="862"/>
      <c r="O320" s="182"/>
    </row>
    <row r="321" spans="1:15" ht="0.75" customHeight="1" thickBot="1">
      <c r="M321" s="862"/>
      <c r="N321" s="862"/>
      <c r="O321" s="182"/>
    </row>
    <row r="322" spans="1:15" ht="21.75" customHeight="1" thickBot="1">
      <c r="A322" s="184" t="s">
        <v>306</v>
      </c>
      <c r="B322" s="392"/>
      <c r="C322" s="138">
        <f>C56+C71+C86+C98+C104+C110+C120+C129+C140+C148+C167+C195+C222+C227+C245+C250+C271+C285+C291+C296+C307+C318+C279+C159</f>
        <v>667551738</v>
      </c>
      <c r="D322" s="138">
        <f>D56+D71+D86+D98+D104+D110+D120+D129+D140+D148+D167+D195+D222+D227+D245+D250+D271+D285+D291+D296+D307+D318+D159+D233</f>
        <v>20660504</v>
      </c>
      <c r="E322" s="307">
        <f>F322/C322*100</f>
        <v>103.09496670054359</v>
      </c>
      <c r="F322" s="138">
        <f>F56+F71+F86+F98+F104+F110+F120+F129+F140+F148+F167+F195+F222+F227+F245+F250+F271+F285+F291+F296+F307+F318+F159</f>
        <v>688212242</v>
      </c>
      <c r="M322" s="859"/>
      <c r="N322" s="859"/>
      <c r="O322" s="182"/>
    </row>
    <row r="323" spans="1:15">
      <c r="O323" s="182"/>
    </row>
    <row r="324" spans="1:15">
      <c r="D324" s="79"/>
      <c r="E324" s="79"/>
      <c r="F324" s="471">
        <f>F322-'Kiadások részletes COFOG'!F535</f>
        <v>0</v>
      </c>
    </row>
    <row r="327" spans="1:15">
      <c r="K327" s="77"/>
    </row>
    <row r="330" spans="1:15">
      <c r="K330" s="77"/>
    </row>
    <row r="333" spans="1:15">
      <c r="K333" s="77"/>
    </row>
    <row r="335" spans="1:15">
      <c r="N335" s="77"/>
    </row>
    <row r="336" spans="1:15">
      <c r="N336" s="77"/>
    </row>
    <row r="340" spans="11:12">
      <c r="L340" s="77"/>
    </row>
    <row r="343" spans="11:12">
      <c r="L343" s="77"/>
    </row>
    <row r="347" spans="11:12">
      <c r="K347" s="77"/>
    </row>
    <row r="350" spans="11:12">
      <c r="K350" s="77"/>
    </row>
    <row r="354" spans="14:14">
      <c r="N354" s="77"/>
    </row>
  </sheetData>
  <autoFilter ref="A1:A340"/>
  <mergeCells count="143">
    <mergeCell ref="C273:F273"/>
    <mergeCell ref="C281:F281"/>
    <mergeCell ref="C298:F298"/>
    <mergeCell ref="C309:F309"/>
    <mergeCell ref="A2:F2"/>
    <mergeCell ref="A3:F3"/>
    <mergeCell ref="A5:F5"/>
    <mergeCell ref="A7:F7"/>
    <mergeCell ref="A8:A9"/>
    <mergeCell ref="B8:B9"/>
    <mergeCell ref="A71:B71"/>
    <mergeCell ref="A72:F72"/>
    <mergeCell ref="A73:A74"/>
    <mergeCell ref="B73:B74"/>
    <mergeCell ref="C73:F73"/>
    <mergeCell ref="A104:B104"/>
    <mergeCell ref="A105:F105"/>
    <mergeCell ref="A106:A107"/>
    <mergeCell ref="B106:B107"/>
    <mergeCell ref="A110:B110"/>
    <mergeCell ref="A111:F111"/>
    <mergeCell ref="A112:A113"/>
    <mergeCell ref="B112:B113"/>
    <mergeCell ref="C106:F106"/>
    <mergeCell ref="E1:F1"/>
    <mergeCell ref="A43:A45"/>
    <mergeCell ref="A17:B17"/>
    <mergeCell ref="A19:B19"/>
    <mergeCell ref="A38:B38"/>
    <mergeCell ref="C8:F8"/>
    <mergeCell ref="A56:B56"/>
    <mergeCell ref="A57:F57"/>
    <mergeCell ref="A58:A59"/>
    <mergeCell ref="B58:B59"/>
    <mergeCell ref="C58:F58"/>
    <mergeCell ref="A46:B46"/>
    <mergeCell ref="A51:B51"/>
    <mergeCell ref="A54:B54"/>
    <mergeCell ref="I82:J82"/>
    <mergeCell ref="A86:B86"/>
    <mergeCell ref="A87:F87"/>
    <mergeCell ref="A88:A89"/>
    <mergeCell ref="B88:B89"/>
    <mergeCell ref="A98:B98"/>
    <mergeCell ref="A99:F99"/>
    <mergeCell ref="A100:A101"/>
    <mergeCell ref="B100:B101"/>
    <mergeCell ref="C88:F88"/>
    <mergeCell ref="C100:F100"/>
    <mergeCell ref="C112:F112"/>
    <mergeCell ref="A120:B120"/>
    <mergeCell ref="A130:F130"/>
    <mergeCell ref="A131:A132"/>
    <mergeCell ref="B131:B132"/>
    <mergeCell ref="I138:J138"/>
    <mergeCell ref="A140:B140"/>
    <mergeCell ref="A141:F141"/>
    <mergeCell ref="A142:A143"/>
    <mergeCell ref="B142:B143"/>
    <mergeCell ref="A121:F121"/>
    <mergeCell ref="A122:A123"/>
    <mergeCell ref="B122:B123"/>
    <mergeCell ref="A129:B129"/>
    <mergeCell ref="C122:E122"/>
    <mergeCell ref="C131:F131"/>
    <mergeCell ref="C142:F142"/>
    <mergeCell ref="A148:B148"/>
    <mergeCell ref="A160:F160"/>
    <mergeCell ref="A161:A162"/>
    <mergeCell ref="B161:B162"/>
    <mergeCell ref="A167:B167"/>
    <mergeCell ref="A168:F168"/>
    <mergeCell ref="A169:A170"/>
    <mergeCell ref="B169:B170"/>
    <mergeCell ref="A149:F149"/>
    <mergeCell ref="A150:A151"/>
    <mergeCell ref="B150:B151"/>
    <mergeCell ref="A159:B159"/>
    <mergeCell ref="C150:F150"/>
    <mergeCell ref="C161:F161"/>
    <mergeCell ref="C169:F169"/>
    <mergeCell ref="A195:B195"/>
    <mergeCell ref="A196:F196"/>
    <mergeCell ref="A197:A198"/>
    <mergeCell ref="B197:B198"/>
    <mergeCell ref="A222:B222"/>
    <mergeCell ref="A223:F223"/>
    <mergeCell ref="A224:A225"/>
    <mergeCell ref="B224:B225"/>
    <mergeCell ref="C197:F197"/>
    <mergeCell ref="C224:F224"/>
    <mergeCell ref="A227:B227"/>
    <mergeCell ref="A234:F234"/>
    <mergeCell ref="A235:A236"/>
    <mergeCell ref="B235:B236"/>
    <mergeCell ref="A245:B245"/>
    <mergeCell ref="A246:F246"/>
    <mergeCell ref="A247:A248"/>
    <mergeCell ref="B247:B248"/>
    <mergeCell ref="A228:F228"/>
    <mergeCell ref="A229:A230"/>
    <mergeCell ref="B229:B230"/>
    <mergeCell ref="A233:B233"/>
    <mergeCell ref="C229:F229"/>
    <mergeCell ref="C235:F235"/>
    <mergeCell ref="C247:F247"/>
    <mergeCell ref="M322:N322"/>
    <mergeCell ref="A297:F297"/>
    <mergeCell ref="A298:A299"/>
    <mergeCell ref="B298:B299"/>
    <mergeCell ref="A307:B307"/>
    <mergeCell ref="A308:F308"/>
    <mergeCell ref="A309:A310"/>
    <mergeCell ref="B309:B310"/>
    <mergeCell ref="A318:B318"/>
    <mergeCell ref="M318:N318"/>
    <mergeCell ref="M319:N319"/>
    <mergeCell ref="M320:N320"/>
    <mergeCell ref="M321:N321"/>
    <mergeCell ref="B293:B294"/>
    <mergeCell ref="A296:B296"/>
    <mergeCell ref="C293:E293"/>
    <mergeCell ref="A250:B250"/>
    <mergeCell ref="A251:F251"/>
    <mergeCell ref="A252:A253"/>
    <mergeCell ref="B252:B253"/>
    <mergeCell ref="A271:B271"/>
    <mergeCell ref="A280:F280"/>
    <mergeCell ref="A281:A282"/>
    <mergeCell ref="B281:B282"/>
    <mergeCell ref="A285:B285"/>
    <mergeCell ref="A286:F286"/>
    <mergeCell ref="A287:A288"/>
    <mergeCell ref="B287:B288"/>
    <mergeCell ref="C287:E287"/>
    <mergeCell ref="A272:F272"/>
    <mergeCell ref="A279:B279"/>
    <mergeCell ref="A273:A274"/>
    <mergeCell ref="B273:B274"/>
    <mergeCell ref="A291:B291"/>
    <mergeCell ref="A292:F292"/>
    <mergeCell ref="A293:A294"/>
    <mergeCell ref="C252:F252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58" firstPageNumber="0" orientation="portrait" verticalDpi="300" r:id="rId1"/>
  <rowBreaks count="4" manualBreakCount="4">
    <brk id="56" max="16383" man="1"/>
    <brk id="104" max="5" man="1"/>
    <brk id="159" max="5" man="1"/>
    <brk id="222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4"/>
  <sheetViews>
    <sheetView topLeftCell="A97" zoomScale="112" zoomScaleNormal="112" workbookViewId="0">
      <selection activeCell="F335" activeCellId="1" sqref="F330 F335"/>
    </sheetView>
  </sheetViews>
  <sheetFormatPr defaultRowHeight="12.75"/>
  <cols>
    <col min="1" max="1" width="9.140625" customWidth="1"/>
    <col min="2" max="2" width="35.5703125" customWidth="1"/>
    <col min="3" max="3" width="13" customWidth="1"/>
    <col min="4" max="5" width="9.140625" customWidth="1"/>
    <col min="6" max="6" width="17.85546875" style="79" customWidth="1"/>
    <col min="7" max="7" width="13.140625" style="222" customWidth="1"/>
    <col min="8" max="8" width="14.42578125" style="496" bestFit="1" customWidth="1"/>
    <col min="9" max="9" width="12.85546875" style="513" customWidth="1"/>
    <col min="10" max="10" width="10.140625" bestFit="1" customWidth="1"/>
    <col min="11" max="11" width="12.85546875" customWidth="1"/>
    <col min="12" max="13" width="9.140625" customWidth="1"/>
    <col min="14" max="14" width="10.140625" bestFit="1" customWidth="1"/>
    <col min="15" max="15" width="20.5703125" customWidth="1"/>
    <col min="16" max="1025" width="9.140625" customWidth="1"/>
  </cols>
  <sheetData>
    <row r="1" spans="1:10" ht="12" customHeight="1">
      <c r="E1" s="963" t="s">
        <v>385</v>
      </c>
      <c r="F1" s="872"/>
    </row>
    <row r="2" spans="1:10" ht="12" customHeight="1">
      <c r="E2" s="292"/>
      <c r="F2" s="170"/>
    </row>
    <row r="3" spans="1:10" ht="15.75">
      <c r="A3" s="810" t="s">
        <v>723</v>
      </c>
      <c r="B3" s="810"/>
      <c r="C3" s="810"/>
      <c r="D3" s="810"/>
      <c r="E3" s="810"/>
      <c r="F3" s="810"/>
    </row>
    <row r="4" spans="1:10" ht="15.75">
      <c r="A4" s="810" t="s">
        <v>389</v>
      </c>
      <c r="B4" s="810"/>
      <c r="C4" s="810"/>
      <c r="D4" s="810"/>
      <c r="E4" s="810"/>
      <c r="F4" s="810"/>
    </row>
    <row r="5" spans="1:10" ht="21.75" customHeight="1">
      <c r="F5" s="80" t="s">
        <v>45</v>
      </c>
    </row>
    <row r="6" spans="1:10" ht="18" customHeight="1">
      <c r="A6" s="964" t="s">
        <v>265</v>
      </c>
      <c r="B6" s="964"/>
      <c r="C6" s="964"/>
      <c r="D6" s="964"/>
      <c r="E6" s="964"/>
      <c r="F6" s="964"/>
      <c r="H6" s="497"/>
    </row>
    <row r="7" spans="1:10" s="39" customFormat="1" ht="18" customHeight="1">
      <c r="A7" s="81"/>
      <c r="B7" s="81"/>
      <c r="C7" s="81"/>
      <c r="D7" s="81"/>
      <c r="E7" s="81"/>
      <c r="F7" s="81"/>
      <c r="G7" s="344"/>
      <c r="H7" s="498"/>
      <c r="I7" s="514"/>
    </row>
    <row r="8" spans="1:10" ht="23.25" customHeight="1">
      <c r="A8" s="900" t="s">
        <v>114</v>
      </c>
      <c r="B8" s="900"/>
      <c r="C8" s="900"/>
      <c r="D8" s="900"/>
      <c r="E8" s="900"/>
      <c r="F8" s="900"/>
    </row>
    <row r="9" spans="1:10" ht="17.25" customHeight="1">
      <c r="A9" s="886" t="s">
        <v>46</v>
      </c>
      <c r="B9" s="888" t="s">
        <v>47</v>
      </c>
      <c r="C9" s="889">
        <v>2023</v>
      </c>
      <c r="D9" s="889"/>
      <c r="E9" s="889"/>
      <c r="F9" s="889"/>
    </row>
    <row r="10" spans="1:10" ht="16.5" customHeight="1">
      <c r="A10" s="886"/>
      <c r="B10" s="888"/>
      <c r="C10" s="890"/>
      <c r="D10" s="890"/>
      <c r="E10" s="890"/>
      <c r="F10" s="185" t="s">
        <v>509</v>
      </c>
      <c r="G10" s="186"/>
    </row>
    <row r="11" spans="1:10" ht="15" customHeight="1" thickBot="1">
      <c r="A11" s="965" t="s">
        <v>141</v>
      </c>
      <c r="B11" s="933" t="s">
        <v>266</v>
      </c>
      <c r="C11" s="933"/>
      <c r="D11" s="933"/>
      <c r="E11" s="933"/>
      <c r="F11" s="933"/>
    </row>
    <row r="12" spans="1:10" ht="15" customHeight="1" thickBot="1">
      <c r="A12" s="965"/>
      <c r="B12" s="87"/>
      <c r="C12" s="445"/>
      <c r="D12" s="446"/>
      <c r="E12" s="446"/>
      <c r="F12" s="213"/>
    </row>
    <row r="13" spans="1:10" ht="15" customHeight="1" thickBot="1">
      <c r="A13" s="965"/>
      <c r="B13" s="87"/>
      <c r="C13" s="445"/>
      <c r="D13" s="446"/>
      <c r="E13" s="446"/>
      <c r="F13" s="213">
        <f>C13*D13</f>
        <v>0</v>
      </c>
      <c r="J13" s="111"/>
    </row>
    <row r="14" spans="1:10" ht="15" customHeight="1">
      <c r="A14" s="965"/>
      <c r="B14" s="880" t="s">
        <v>307</v>
      </c>
      <c r="C14" s="880"/>
      <c r="D14" s="880"/>
      <c r="E14" s="880"/>
      <c r="F14" s="190">
        <f>SUM(F12:F13)</f>
        <v>0</v>
      </c>
    </row>
    <row r="15" spans="1:10" ht="15" customHeight="1">
      <c r="A15" s="102" t="s">
        <v>151</v>
      </c>
      <c r="B15" s="881" t="s">
        <v>152</v>
      </c>
      <c r="C15" s="881"/>
      <c r="D15" s="881"/>
      <c r="E15" s="881"/>
      <c r="F15" s="881"/>
    </row>
    <row r="16" spans="1:10" ht="15" customHeight="1">
      <c r="A16" s="191"/>
      <c r="B16" s="87" t="s">
        <v>679</v>
      </c>
      <c r="C16" s="106">
        <v>780000</v>
      </c>
      <c r="D16" s="188">
        <v>12</v>
      </c>
      <c r="E16" s="188" t="s">
        <v>308</v>
      </c>
      <c r="F16" s="189">
        <f t="shared" ref="F16:F24" si="0">SUM(C16*D16)</f>
        <v>9360000</v>
      </c>
    </row>
    <row r="17" spans="1:10" ht="15" customHeight="1">
      <c r="A17" s="191"/>
      <c r="B17" s="87" t="s">
        <v>640</v>
      </c>
      <c r="C17" s="106">
        <v>117000</v>
      </c>
      <c r="D17" s="188">
        <v>12</v>
      </c>
      <c r="E17" s="188" t="s">
        <v>308</v>
      </c>
      <c r="F17" s="189">
        <f t="shared" si="0"/>
        <v>1404000</v>
      </c>
    </row>
    <row r="18" spans="1:10" ht="15" customHeight="1">
      <c r="A18" s="191"/>
      <c r="B18" s="87" t="s">
        <v>674</v>
      </c>
      <c r="C18" s="106">
        <v>780000</v>
      </c>
      <c r="D18" s="188">
        <v>3</v>
      </c>
      <c r="E18" s="188" t="s">
        <v>309</v>
      </c>
      <c r="F18" s="189">
        <f t="shared" si="0"/>
        <v>2340000</v>
      </c>
    </row>
    <row r="19" spans="1:10" ht="15" customHeight="1">
      <c r="A19" s="191"/>
      <c r="B19" s="87" t="s">
        <v>682</v>
      </c>
      <c r="C19" s="106">
        <v>300000</v>
      </c>
      <c r="D19" s="188">
        <v>1</v>
      </c>
      <c r="E19" s="188" t="s">
        <v>309</v>
      </c>
      <c r="F19" s="189">
        <f t="shared" si="0"/>
        <v>300000</v>
      </c>
    </row>
    <row r="20" spans="1:10" ht="15" customHeight="1">
      <c r="A20" s="191"/>
      <c r="B20" s="87" t="s">
        <v>532</v>
      </c>
      <c r="C20" s="106">
        <v>434000</v>
      </c>
      <c r="D20" s="188">
        <v>12</v>
      </c>
      <c r="E20" s="188" t="s">
        <v>308</v>
      </c>
      <c r="F20" s="189">
        <f t="shared" si="0"/>
        <v>5208000</v>
      </c>
      <c r="H20" s="500"/>
    </row>
    <row r="21" spans="1:10" ht="15" customHeight="1">
      <c r="A21" s="191"/>
      <c r="B21" s="87" t="s">
        <v>680</v>
      </c>
      <c r="C21" s="106">
        <v>190000</v>
      </c>
      <c r="D21" s="188">
        <v>12</v>
      </c>
      <c r="E21" s="188" t="s">
        <v>308</v>
      </c>
      <c r="F21" s="189">
        <f t="shared" si="0"/>
        <v>2280000</v>
      </c>
      <c r="J21" s="280"/>
    </row>
    <row r="22" spans="1:10" ht="15.75" customHeight="1">
      <c r="A22" s="191"/>
      <c r="B22" s="87" t="s">
        <v>681</v>
      </c>
      <c r="C22" s="106">
        <v>28500</v>
      </c>
      <c r="D22" s="188">
        <v>12</v>
      </c>
      <c r="E22" s="188" t="s">
        <v>308</v>
      </c>
      <c r="F22" s="189">
        <f t="shared" si="0"/>
        <v>342000</v>
      </c>
      <c r="J22" s="280"/>
    </row>
    <row r="23" spans="1:10" ht="15" customHeight="1">
      <c r="A23" s="101" t="s">
        <v>151</v>
      </c>
      <c r="B23" s="87" t="s">
        <v>310</v>
      </c>
      <c r="C23" s="106">
        <v>1000</v>
      </c>
      <c r="D23" s="188">
        <v>12</v>
      </c>
      <c r="E23" s="188" t="s">
        <v>308</v>
      </c>
      <c r="F23" s="189">
        <f t="shared" si="0"/>
        <v>12000</v>
      </c>
      <c r="J23" s="111"/>
    </row>
    <row r="24" spans="1:10" ht="15" customHeight="1">
      <c r="A24" s="101"/>
      <c r="B24" s="87" t="s">
        <v>396</v>
      </c>
      <c r="C24" s="106">
        <v>5000</v>
      </c>
      <c r="D24" s="188">
        <v>12</v>
      </c>
      <c r="E24" s="188" t="s">
        <v>308</v>
      </c>
      <c r="F24" s="189">
        <f t="shared" si="0"/>
        <v>60000</v>
      </c>
      <c r="G24" s="203">
        <f>SUM(F16:F24)</f>
        <v>21306000</v>
      </c>
      <c r="J24" s="111"/>
    </row>
    <row r="25" spans="1:10" ht="15" customHeight="1">
      <c r="A25" s="141"/>
      <c r="B25" s="880" t="s">
        <v>311</v>
      </c>
      <c r="C25" s="880"/>
      <c r="D25" s="880"/>
      <c r="E25" s="880"/>
      <c r="F25" s="190">
        <v>21310000</v>
      </c>
    </row>
    <row r="26" spans="1:10" ht="18.75" customHeight="1">
      <c r="A26" s="840" t="s">
        <v>153</v>
      </c>
      <c r="B26" s="881" t="s">
        <v>154</v>
      </c>
      <c r="C26" s="881"/>
      <c r="D26" s="881"/>
      <c r="E26" s="881"/>
      <c r="F26" s="881"/>
    </row>
    <row r="27" spans="1:10" ht="18" customHeight="1">
      <c r="A27" s="840"/>
      <c r="B27" s="87" t="s">
        <v>547</v>
      </c>
      <c r="C27" s="106">
        <v>15000</v>
      </c>
      <c r="D27" s="188">
        <v>12</v>
      </c>
      <c r="E27" s="188"/>
      <c r="F27" s="189">
        <f>SUM(C27*D27)</f>
        <v>180000</v>
      </c>
    </row>
    <row r="28" spans="1:10" ht="18" customHeight="1">
      <c r="A28" s="840"/>
      <c r="B28" s="87" t="s">
        <v>546</v>
      </c>
      <c r="C28" s="106">
        <v>55000</v>
      </c>
      <c r="D28" s="188">
        <v>12</v>
      </c>
      <c r="E28" s="188"/>
      <c r="F28" s="189">
        <f>SUM(C28*D28)</f>
        <v>660000</v>
      </c>
    </row>
    <row r="29" spans="1:10" ht="18" customHeight="1">
      <c r="A29" s="840"/>
      <c r="B29" s="87" t="s">
        <v>400</v>
      </c>
      <c r="C29" s="106">
        <v>18000</v>
      </c>
      <c r="D29" s="188">
        <v>12</v>
      </c>
      <c r="E29" s="188"/>
      <c r="F29" s="189">
        <f>SUM(C29*D29)</f>
        <v>216000</v>
      </c>
    </row>
    <row r="30" spans="1:10" ht="18" customHeight="1">
      <c r="A30" s="840"/>
      <c r="B30" s="87" t="s">
        <v>641</v>
      </c>
      <c r="C30" s="106"/>
      <c r="D30" s="188"/>
      <c r="E30" s="188"/>
      <c r="F30" s="189">
        <v>744000</v>
      </c>
    </row>
    <row r="31" spans="1:10" ht="15.75" customHeight="1">
      <c r="A31" s="840"/>
      <c r="B31" s="880" t="s">
        <v>312</v>
      </c>
      <c r="C31" s="880"/>
      <c r="D31" s="880"/>
      <c r="E31" s="880"/>
      <c r="F31" s="190">
        <f>SUM(F27:F30)</f>
        <v>1800000</v>
      </c>
      <c r="H31" s="499"/>
    </row>
    <row r="32" spans="1:10" ht="15" customHeight="1">
      <c r="A32" s="114" t="s">
        <v>398</v>
      </c>
      <c r="B32" s="880" t="s">
        <v>156</v>
      </c>
      <c r="C32" s="880"/>
      <c r="D32" s="880"/>
      <c r="E32" s="880"/>
      <c r="F32" s="190">
        <v>1000000</v>
      </c>
    </row>
    <row r="33" spans="1:11" ht="15" customHeight="1">
      <c r="A33" s="966" t="s">
        <v>313</v>
      </c>
      <c r="B33" s="87" t="s">
        <v>314</v>
      </c>
      <c r="C33" s="106">
        <f>F14+F25+F31+F32</f>
        <v>24110000</v>
      </c>
      <c r="D33" s="193">
        <v>0.13</v>
      </c>
      <c r="E33" s="689"/>
      <c r="F33" s="189">
        <f>SUM(C33*D33)</f>
        <v>3134300</v>
      </c>
      <c r="G33" s="203"/>
      <c r="H33" s="499"/>
    </row>
    <row r="34" spans="1:11" ht="15" customHeight="1">
      <c r="A34" s="966"/>
      <c r="B34" s="87" t="s">
        <v>626</v>
      </c>
      <c r="C34" s="106">
        <f>SUM(F32)</f>
        <v>1000000</v>
      </c>
      <c r="D34" s="193">
        <v>0.15</v>
      </c>
      <c r="E34" s="689"/>
      <c r="F34" s="189">
        <f>SUM(C34*D34)</f>
        <v>150000</v>
      </c>
      <c r="G34" s="203"/>
      <c r="H34" s="499"/>
    </row>
    <row r="35" spans="1:11" ht="15" customHeight="1">
      <c r="A35" s="966"/>
      <c r="B35" s="87"/>
      <c r="C35" s="106"/>
      <c r="D35" s="193"/>
      <c r="F35" s="189"/>
      <c r="G35" s="203">
        <f>SUM(F33:F35)</f>
        <v>3284300</v>
      </c>
      <c r="H35" s="499"/>
    </row>
    <row r="36" spans="1:11" ht="15.75" customHeight="1">
      <c r="A36" s="966"/>
      <c r="B36" s="880" t="s">
        <v>315</v>
      </c>
      <c r="C36" s="880"/>
      <c r="D36" s="880"/>
      <c r="E36" s="880"/>
      <c r="F36" s="190">
        <v>3300000</v>
      </c>
      <c r="G36" s="203"/>
    </row>
    <row r="37" spans="1:11" ht="15" customHeight="1">
      <c r="A37" s="907" t="s">
        <v>161</v>
      </c>
      <c r="B37" s="87" t="s">
        <v>555</v>
      </c>
      <c r="C37" s="106">
        <v>1800</v>
      </c>
      <c r="D37" s="198">
        <v>0.05</v>
      </c>
      <c r="E37" s="188">
        <v>4</v>
      </c>
      <c r="F37" s="189">
        <f>SUM(C37*E37)</f>
        <v>7200</v>
      </c>
      <c r="G37" s="494"/>
      <c r="H37" s="501">
        <v>0.05</v>
      </c>
      <c r="I37" s="521">
        <f>SUM(F37*H37)</f>
        <v>360</v>
      </c>
      <c r="J37" s="495"/>
      <c r="K37" s="240"/>
    </row>
    <row r="38" spans="1:11" ht="15" customHeight="1">
      <c r="A38" s="899"/>
      <c r="B38" s="87" t="s">
        <v>557</v>
      </c>
      <c r="C38" s="106">
        <v>40000</v>
      </c>
      <c r="D38" s="198">
        <v>0.05</v>
      </c>
      <c r="E38" s="188">
        <v>4</v>
      </c>
      <c r="F38" s="189">
        <f>SUM(C38*E38)</f>
        <v>160000</v>
      </c>
      <c r="G38" s="494"/>
      <c r="H38" s="501">
        <v>0.05</v>
      </c>
      <c r="I38" s="521">
        <f>SUM(F38*H38)</f>
        <v>8000</v>
      </c>
      <c r="J38" s="495"/>
      <c r="K38" s="240"/>
    </row>
    <row r="39" spans="1:11" ht="15" customHeight="1">
      <c r="A39" s="899"/>
      <c r="B39" s="87" t="s">
        <v>556</v>
      </c>
      <c r="C39" s="106"/>
      <c r="D39" s="198">
        <v>0.05</v>
      </c>
      <c r="E39" s="106"/>
      <c r="F39" s="189">
        <v>32800</v>
      </c>
      <c r="G39" s="494"/>
      <c r="H39" s="501">
        <v>0.05</v>
      </c>
      <c r="I39" s="521">
        <f t="shared" ref="I39:I89" si="1">SUM(F39*H39)</f>
        <v>1640</v>
      </c>
      <c r="J39" s="495"/>
      <c r="K39" s="240"/>
    </row>
    <row r="40" spans="1:11" ht="15" customHeight="1">
      <c r="A40" s="908"/>
      <c r="B40" s="880" t="s">
        <v>316</v>
      </c>
      <c r="C40" s="880"/>
      <c r="D40" s="880"/>
      <c r="E40" s="880"/>
      <c r="F40" s="190">
        <f>SUM(F37:F39)</f>
        <v>200000</v>
      </c>
      <c r="G40" s="494"/>
      <c r="H40" s="501"/>
      <c r="I40" s="521"/>
      <c r="J40" s="495"/>
      <c r="K40" s="240"/>
    </row>
    <row r="41" spans="1:11" ht="15" customHeight="1">
      <c r="A41" s="907" t="s">
        <v>169</v>
      </c>
      <c r="B41" s="87" t="s">
        <v>587</v>
      </c>
      <c r="C41" s="106"/>
      <c r="D41" s="194">
        <v>0.27</v>
      </c>
      <c r="E41" s="188"/>
      <c r="F41" s="189">
        <v>400000</v>
      </c>
      <c r="G41" s="222" t="s">
        <v>580</v>
      </c>
      <c r="H41" s="496">
        <v>0.27</v>
      </c>
      <c r="I41" s="521">
        <f t="shared" si="1"/>
        <v>108000</v>
      </c>
    </row>
    <row r="42" spans="1:11" ht="15" customHeight="1">
      <c r="A42" s="899"/>
      <c r="B42" s="195" t="s">
        <v>317</v>
      </c>
      <c r="C42" s="106"/>
      <c r="D42" s="194">
        <v>0.27</v>
      </c>
      <c r="E42" s="106"/>
      <c r="F42" s="189">
        <v>500000</v>
      </c>
      <c r="H42" s="501">
        <v>0.27</v>
      </c>
      <c r="I42" s="521">
        <f>SUM(F42*H42)</f>
        <v>135000</v>
      </c>
    </row>
    <row r="43" spans="1:11" ht="15" customHeight="1">
      <c r="A43" s="899"/>
      <c r="B43" s="195" t="s">
        <v>174</v>
      </c>
      <c r="C43" s="106"/>
      <c r="D43" s="194">
        <v>0.27</v>
      </c>
      <c r="E43" s="106"/>
      <c r="F43" s="189">
        <v>400000</v>
      </c>
      <c r="H43" s="501">
        <v>0.27</v>
      </c>
      <c r="I43" s="521">
        <f>SUM(F43*H43)</f>
        <v>108000</v>
      </c>
    </row>
    <row r="44" spans="1:11" ht="15" customHeight="1">
      <c r="A44" s="899"/>
      <c r="B44" s="195" t="s">
        <v>558</v>
      </c>
      <c r="C44" s="106"/>
      <c r="D44" s="194">
        <v>0.27</v>
      </c>
      <c r="E44" s="106"/>
      <c r="F44" s="189">
        <v>700000</v>
      </c>
      <c r="H44" s="501">
        <v>0.27</v>
      </c>
      <c r="I44" s="521">
        <f t="shared" si="1"/>
        <v>189000</v>
      </c>
    </row>
    <row r="45" spans="1:11" ht="15" customHeight="1">
      <c r="A45" s="908"/>
      <c r="B45" s="906" t="s">
        <v>319</v>
      </c>
      <c r="C45" s="906"/>
      <c r="D45" s="906"/>
      <c r="E45" s="906"/>
      <c r="F45" s="190">
        <f>SUM(F41:F44)</f>
        <v>2000000</v>
      </c>
      <c r="I45" s="521">
        <f t="shared" si="1"/>
        <v>0</v>
      </c>
    </row>
    <row r="46" spans="1:11" ht="15" customHeight="1">
      <c r="A46" s="941" t="s">
        <v>183</v>
      </c>
      <c r="B46" s="87" t="s">
        <v>559</v>
      </c>
      <c r="C46" s="106">
        <v>150000</v>
      </c>
      <c r="D46" s="198"/>
      <c r="E46" s="106">
        <v>12</v>
      </c>
      <c r="F46" s="189">
        <f>SUM(C46*E46)</f>
        <v>1800000</v>
      </c>
      <c r="H46" s="496" t="s">
        <v>561</v>
      </c>
      <c r="I46" s="521"/>
    </row>
    <row r="47" spans="1:11" ht="15" customHeight="1">
      <c r="A47" s="942"/>
      <c r="B47" s="87" t="s">
        <v>560</v>
      </c>
      <c r="C47" s="106">
        <v>4400</v>
      </c>
      <c r="D47" s="198">
        <v>0.27</v>
      </c>
      <c r="E47" s="106">
        <v>12</v>
      </c>
      <c r="F47" s="189">
        <v>60000</v>
      </c>
      <c r="H47" s="496">
        <v>0.27</v>
      </c>
      <c r="I47" s="521">
        <f t="shared" si="1"/>
        <v>16200.000000000002</v>
      </c>
    </row>
    <row r="48" spans="1:11" ht="15" customHeight="1">
      <c r="A48" s="942"/>
      <c r="B48" s="87" t="s">
        <v>562</v>
      </c>
      <c r="C48" s="106">
        <v>15000</v>
      </c>
      <c r="D48" s="198">
        <v>0.05</v>
      </c>
      <c r="E48" s="106">
        <v>12</v>
      </c>
      <c r="F48" s="189">
        <f>SUM(C48*E48)</f>
        <v>180000</v>
      </c>
      <c r="H48" s="496">
        <v>0.05</v>
      </c>
      <c r="I48" s="521">
        <f t="shared" si="1"/>
        <v>9000</v>
      </c>
    </row>
    <row r="49" spans="1:9" ht="15" customHeight="1">
      <c r="A49" s="943"/>
      <c r="B49" s="906" t="s">
        <v>320</v>
      </c>
      <c r="C49" s="906"/>
      <c r="D49" s="906">
        <v>0.05</v>
      </c>
      <c r="E49" s="906"/>
      <c r="F49" s="190">
        <f>SUM(F46:F48)</f>
        <v>2040000</v>
      </c>
      <c r="I49" s="521"/>
    </row>
    <row r="50" spans="1:9" ht="15" customHeight="1">
      <c r="A50" s="941" t="s">
        <v>184</v>
      </c>
      <c r="B50" s="87" t="s">
        <v>563</v>
      </c>
      <c r="C50" s="106">
        <v>22000</v>
      </c>
      <c r="D50" s="198">
        <v>0.27</v>
      </c>
      <c r="E50" s="106">
        <v>12</v>
      </c>
      <c r="F50" s="189">
        <f>SUM(C50*E50)</f>
        <v>264000</v>
      </c>
      <c r="H50" s="496">
        <v>0.27</v>
      </c>
      <c r="I50" s="521">
        <f t="shared" si="1"/>
        <v>71280</v>
      </c>
    </row>
    <row r="51" spans="1:9" ht="15" customHeight="1">
      <c r="A51" s="943"/>
      <c r="B51" s="906" t="s">
        <v>185</v>
      </c>
      <c r="C51" s="906"/>
      <c r="D51" s="906">
        <v>0.27</v>
      </c>
      <c r="E51" s="906"/>
      <c r="F51" s="190">
        <f>SUM(F50)</f>
        <v>264000</v>
      </c>
      <c r="I51" s="521"/>
    </row>
    <row r="52" spans="1:9" ht="15" customHeight="1">
      <c r="A52" s="86" t="s">
        <v>188</v>
      </c>
      <c r="B52" s="87" t="s">
        <v>267</v>
      </c>
      <c r="C52" s="106">
        <v>35000</v>
      </c>
      <c r="D52" s="198">
        <v>0.27</v>
      </c>
      <c r="E52" s="106">
        <v>12</v>
      </c>
      <c r="F52" s="189">
        <f>SUM(C52*E52)</f>
        <v>420000</v>
      </c>
      <c r="H52" s="496">
        <v>0.27</v>
      </c>
      <c r="I52" s="521">
        <f t="shared" si="1"/>
        <v>113400.00000000001</v>
      </c>
    </row>
    <row r="53" spans="1:9" ht="15" customHeight="1">
      <c r="A53" s="86" t="s">
        <v>190</v>
      </c>
      <c r="B53" s="87" t="s">
        <v>268</v>
      </c>
      <c r="C53" s="106">
        <v>200000</v>
      </c>
      <c r="D53" s="198">
        <v>0.27</v>
      </c>
      <c r="E53" s="106">
        <v>12</v>
      </c>
      <c r="F53" s="189">
        <f>SUM(C53*E53)</f>
        <v>2400000</v>
      </c>
      <c r="H53" s="496">
        <v>0.27</v>
      </c>
      <c r="I53" s="521">
        <f t="shared" si="1"/>
        <v>648000</v>
      </c>
    </row>
    <row r="54" spans="1:9" ht="15" customHeight="1">
      <c r="A54" s="114" t="s">
        <v>399</v>
      </c>
      <c r="B54" s="202" t="s">
        <v>279</v>
      </c>
      <c r="C54" s="373">
        <v>10000</v>
      </c>
      <c r="D54" s="198">
        <v>0.27</v>
      </c>
      <c r="E54" s="373">
        <v>12</v>
      </c>
      <c r="F54" s="189">
        <f>SUM(C54*E54)</f>
        <v>120000</v>
      </c>
      <c r="H54" s="496">
        <v>0.27</v>
      </c>
      <c r="I54" s="521">
        <f t="shared" si="1"/>
        <v>32400.000000000004</v>
      </c>
    </row>
    <row r="55" spans="1:9" ht="15" customHeight="1">
      <c r="A55" s="114" t="s">
        <v>186</v>
      </c>
      <c r="B55" s="906" t="s">
        <v>287</v>
      </c>
      <c r="C55" s="906"/>
      <c r="D55" s="906"/>
      <c r="E55" s="906"/>
      <c r="F55" s="190">
        <f>SUM(F52:F54)</f>
        <v>2940000</v>
      </c>
      <c r="I55" s="521"/>
    </row>
    <row r="56" spans="1:9" ht="15.95" customHeight="1">
      <c r="A56" s="928" t="s">
        <v>196</v>
      </c>
      <c r="B56" s="87" t="s">
        <v>564</v>
      </c>
      <c r="C56" s="106">
        <v>8500</v>
      </c>
      <c r="D56" s="198">
        <v>0.27</v>
      </c>
      <c r="E56" s="106">
        <v>12</v>
      </c>
      <c r="F56" s="189">
        <f>SUM(C56*E56)</f>
        <v>102000</v>
      </c>
      <c r="H56" s="496">
        <v>0.27</v>
      </c>
      <c r="I56" s="521">
        <f t="shared" si="1"/>
        <v>27540</v>
      </c>
    </row>
    <row r="57" spans="1:9" ht="15.95" customHeight="1">
      <c r="A57" s="928"/>
      <c r="B57" s="87" t="s">
        <v>565</v>
      </c>
      <c r="C57" s="106">
        <v>8100</v>
      </c>
      <c r="D57" s="198">
        <v>0.27</v>
      </c>
      <c r="E57" s="106">
        <v>4</v>
      </c>
      <c r="F57" s="189">
        <f>SUM(C57*E57)</f>
        <v>32400</v>
      </c>
      <c r="H57" s="496">
        <v>0.27</v>
      </c>
      <c r="I57" s="521">
        <f t="shared" si="1"/>
        <v>8748</v>
      </c>
    </row>
    <row r="58" spans="1:9" ht="15.95" customHeight="1">
      <c r="A58" s="928"/>
      <c r="B58" s="87" t="s">
        <v>566</v>
      </c>
      <c r="C58" s="106"/>
      <c r="D58" s="198"/>
      <c r="E58" s="106"/>
      <c r="F58" s="189">
        <v>15600</v>
      </c>
      <c r="H58" s="496">
        <v>0.27</v>
      </c>
      <c r="I58" s="521">
        <f t="shared" si="1"/>
        <v>4212</v>
      </c>
    </row>
    <row r="59" spans="1:9" ht="15.95" customHeight="1">
      <c r="A59" s="928"/>
      <c r="B59" s="880" t="s">
        <v>321</v>
      </c>
      <c r="C59" s="880"/>
      <c r="D59" s="880"/>
      <c r="E59" s="880"/>
      <c r="F59" s="190">
        <f>SUM(F56:F58)</f>
        <v>150000</v>
      </c>
      <c r="I59" s="521">
        <f t="shared" si="1"/>
        <v>0</v>
      </c>
    </row>
    <row r="60" spans="1:9" ht="15.95" customHeight="1">
      <c r="A60" s="941" t="s">
        <v>198</v>
      </c>
      <c r="B60" s="87" t="s">
        <v>567</v>
      </c>
      <c r="C60" s="201">
        <v>30000</v>
      </c>
      <c r="D60" s="198">
        <v>0.27</v>
      </c>
      <c r="E60" s="201">
        <v>12</v>
      </c>
      <c r="F60" s="189">
        <f>SUM(C60*E60)</f>
        <v>360000</v>
      </c>
      <c r="H60" s="496">
        <v>0.27</v>
      </c>
      <c r="I60" s="521">
        <f t="shared" si="1"/>
        <v>97200</v>
      </c>
    </row>
    <row r="61" spans="1:9" ht="15.95" customHeight="1">
      <c r="A61" s="942"/>
      <c r="B61" s="87" t="s">
        <v>568</v>
      </c>
      <c r="C61" s="201"/>
      <c r="D61" s="198"/>
      <c r="E61" s="201"/>
      <c r="F61" s="189">
        <v>200000</v>
      </c>
      <c r="H61" s="496">
        <v>0.27</v>
      </c>
      <c r="I61" s="521">
        <f t="shared" si="1"/>
        <v>54000</v>
      </c>
    </row>
    <row r="62" spans="1:9" ht="15.95" customHeight="1">
      <c r="A62" s="942"/>
      <c r="B62" s="87" t="s">
        <v>588</v>
      </c>
      <c r="C62" s="201"/>
      <c r="D62" s="198"/>
      <c r="E62" s="201"/>
      <c r="F62" s="189">
        <v>250000</v>
      </c>
      <c r="H62" s="496">
        <v>0.27</v>
      </c>
      <c r="I62" s="521">
        <f t="shared" si="1"/>
        <v>67500</v>
      </c>
    </row>
    <row r="63" spans="1:9" ht="15.95" customHeight="1">
      <c r="A63" s="943"/>
      <c r="B63" s="880" t="s">
        <v>199</v>
      </c>
      <c r="C63" s="880" t="s">
        <v>401</v>
      </c>
      <c r="D63" s="880">
        <v>0.27</v>
      </c>
      <c r="E63" s="880"/>
      <c r="F63" s="190">
        <f>SUM(F60:F62)</f>
        <v>810000</v>
      </c>
      <c r="I63" s="521"/>
    </row>
    <row r="64" spans="1:9" ht="15.95" customHeight="1">
      <c r="A64" s="941">
        <v>53351</v>
      </c>
      <c r="B64" s="87" t="s">
        <v>642</v>
      </c>
      <c r="C64" s="201"/>
      <c r="D64" s="198"/>
      <c r="E64" s="201"/>
      <c r="F64" s="189">
        <v>400000</v>
      </c>
      <c r="H64" s="496">
        <v>0.27</v>
      </c>
      <c r="I64" s="521">
        <f t="shared" si="1"/>
        <v>108000</v>
      </c>
    </row>
    <row r="65" spans="1:9" ht="15.95" customHeight="1">
      <c r="A65" s="942"/>
      <c r="B65" s="87" t="s">
        <v>643</v>
      </c>
      <c r="C65" s="201"/>
      <c r="D65" s="198"/>
      <c r="E65" s="201"/>
      <c r="F65" s="189">
        <v>30000</v>
      </c>
      <c r="H65" s="496">
        <v>0.27</v>
      </c>
      <c r="I65" s="521">
        <f t="shared" si="1"/>
        <v>8100.0000000000009</v>
      </c>
    </row>
    <row r="66" spans="1:9" ht="15.95" customHeight="1">
      <c r="A66" s="942"/>
      <c r="B66" s="87" t="s">
        <v>644</v>
      </c>
      <c r="C66" s="201"/>
      <c r="D66" s="198"/>
      <c r="E66" s="201"/>
      <c r="F66" s="189">
        <v>300000</v>
      </c>
      <c r="H66" s="496">
        <v>0.27</v>
      </c>
      <c r="I66" s="521">
        <f t="shared" si="1"/>
        <v>81000</v>
      </c>
    </row>
    <row r="67" spans="1:9" ht="15.95" customHeight="1">
      <c r="A67" s="942"/>
      <c r="B67" s="87" t="s">
        <v>645</v>
      </c>
      <c r="C67" s="201"/>
      <c r="D67" s="198"/>
      <c r="E67" s="201"/>
      <c r="F67" s="189">
        <v>200000</v>
      </c>
      <c r="H67" s="496">
        <v>0.27</v>
      </c>
      <c r="I67" s="521">
        <f t="shared" si="1"/>
        <v>54000</v>
      </c>
    </row>
    <row r="68" spans="1:9" ht="15.95" customHeight="1">
      <c r="A68" s="942"/>
      <c r="B68" s="87" t="s">
        <v>646</v>
      </c>
      <c r="C68" s="201"/>
      <c r="D68" s="198"/>
      <c r="E68" s="201"/>
      <c r="F68" s="189">
        <v>450000</v>
      </c>
      <c r="H68" s="496">
        <v>0.27</v>
      </c>
      <c r="I68" s="521">
        <f t="shared" si="1"/>
        <v>121500.00000000001</v>
      </c>
    </row>
    <row r="69" spans="1:9" ht="15.95" customHeight="1">
      <c r="A69" s="942"/>
      <c r="B69" s="87" t="s">
        <v>647</v>
      </c>
      <c r="C69" s="201"/>
      <c r="D69" s="198"/>
      <c r="E69" s="201"/>
      <c r="F69" s="189">
        <v>160000</v>
      </c>
      <c r="H69" s="496">
        <v>0.27</v>
      </c>
      <c r="I69" s="521">
        <f t="shared" si="1"/>
        <v>43200</v>
      </c>
    </row>
    <row r="70" spans="1:9" ht="15.95" customHeight="1">
      <c r="A70" s="942"/>
      <c r="B70" s="87" t="s">
        <v>648</v>
      </c>
      <c r="C70" s="201"/>
      <c r="D70" s="198"/>
      <c r="E70" s="201"/>
      <c r="F70" s="189">
        <v>600000</v>
      </c>
      <c r="H70" s="496">
        <v>0.27</v>
      </c>
      <c r="I70" s="521">
        <f t="shared" si="1"/>
        <v>162000</v>
      </c>
    </row>
    <row r="71" spans="1:9" ht="15.95" customHeight="1">
      <c r="A71" s="942"/>
      <c r="B71" s="87" t="s">
        <v>685</v>
      </c>
      <c r="C71" s="201"/>
      <c r="D71" s="531"/>
      <c r="E71" s="201"/>
      <c r="F71" s="189">
        <v>400000</v>
      </c>
      <c r="H71" s="496">
        <v>0.27</v>
      </c>
      <c r="I71" s="521">
        <f t="shared" si="1"/>
        <v>108000</v>
      </c>
    </row>
    <row r="72" spans="1:9" ht="15.95" customHeight="1">
      <c r="A72" s="942"/>
      <c r="B72" s="87" t="s">
        <v>686</v>
      </c>
      <c r="C72" s="201"/>
      <c r="D72" s="531"/>
      <c r="E72" s="201"/>
      <c r="F72" s="189">
        <v>120000</v>
      </c>
      <c r="H72" s="496">
        <v>1.27</v>
      </c>
      <c r="I72" s="521">
        <f t="shared" ref="I72:I73" si="2">SUM(F72*H72)</f>
        <v>152400</v>
      </c>
    </row>
    <row r="73" spans="1:9" ht="15.95" customHeight="1">
      <c r="A73" s="942"/>
      <c r="B73" s="87"/>
      <c r="C73" s="201"/>
      <c r="D73" s="531"/>
      <c r="E73" s="201"/>
      <c r="F73" s="189">
        <v>340000</v>
      </c>
      <c r="H73" s="496">
        <v>2.27</v>
      </c>
      <c r="I73" s="521">
        <f t="shared" si="2"/>
        <v>771800</v>
      </c>
    </row>
    <row r="74" spans="1:9" ht="15.95" customHeight="1">
      <c r="A74" s="943"/>
      <c r="B74" s="880" t="s">
        <v>394</v>
      </c>
      <c r="C74" s="880" t="s">
        <v>402</v>
      </c>
      <c r="D74" s="880">
        <v>0.27</v>
      </c>
      <c r="E74" s="880"/>
      <c r="F74" s="190">
        <f>SUM(F64:F73)</f>
        <v>3000000</v>
      </c>
      <c r="I74" s="521"/>
    </row>
    <row r="75" spans="1:9" ht="15" customHeight="1">
      <c r="A75" s="899" t="s">
        <v>200</v>
      </c>
      <c r="B75" s="195" t="s">
        <v>322</v>
      </c>
      <c r="C75" s="106">
        <v>324000</v>
      </c>
      <c r="D75" s="198">
        <v>0</v>
      </c>
      <c r="E75" s="106">
        <v>4</v>
      </c>
      <c r="F75" s="189">
        <f>SUM(C75*E75)</f>
        <v>1296000</v>
      </c>
      <c r="H75" s="496">
        <v>0</v>
      </c>
      <c r="I75" s="521">
        <f>SUM(F75*H75)</f>
        <v>0</v>
      </c>
    </row>
    <row r="76" spans="1:9" ht="15" customHeight="1">
      <c r="A76" s="899"/>
      <c r="B76" s="199" t="s">
        <v>649</v>
      </c>
      <c r="C76" s="106">
        <v>240000</v>
      </c>
      <c r="D76" s="198">
        <v>0.27</v>
      </c>
      <c r="E76" s="106">
        <v>4</v>
      </c>
      <c r="F76" s="189">
        <f t="shared" ref="F76:F77" si="3">SUM(C76*E76)</f>
        <v>960000</v>
      </c>
      <c r="H76" s="496">
        <v>0.27</v>
      </c>
      <c r="I76" s="521">
        <f t="shared" si="1"/>
        <v>259200.00000000003</v>
      </c>
    </row>
    <row r="77" spans="1:9" ht="15" customHeight="1">
      <c r="A77" s="899"/>
      <c r="B77" s="199" t="s">
        <v>683</v>
      </c>
      <c r="C77" s="106">
        <v>200000</v>
      </c>
      <c r="D77" s="198">
        <v>0.27</v>
      </c>
      <c r="E77" s="106">
        <v>4</v>
      </c>
      <c r="F77" s="189">
        <f t="shared" si="3"/>
        <v>800000</v>
      </c>
      <c r="H77" s="496">
        <v>0.27</v>
      </c>
      <c r="I77" s="521">
        <f t="shared" si="1"/>
        <v>216000</v>
      </c>
    </row>
    <row r="78" spans="1:9" ht="15" customHeight="1">
      <c r="A78" s="899"/>
      <c r="B78" s="199" t="s">
        <v>684</v>
      </c>
      <c r="C78" s="106"/>
      <c r="D78" s="198"/>
      <c r="E78" s="106"/>
      <c r="F78" s="189">
        <v>100000</v>
      </c>
      <c r="I78" s="521"/>
    </row>
    <row r="79" spans="1:9" ht="15" customHeight="1">
      <c r="A79" s="899"/>
      <c r="B79" s="199" t="s">
        <v>323</v>
      </c>
      <c r="C79" s="106"/>
      <c r="D79" s="198">
        <v>0.27</v>
      </c>
      <c r="E79" s="106"/>
      <c r="F79" s="189">
        <v>4000</v>
      </c>
      <c r="I79" s="521">
        <f t="shared" si="1"/>
        <v>0</v>
      </c>
    </row>
    <row r="80" spans="1:9" ht="15" customHeight="1">
      <c r="A80" s="908"/>
      <c r="B80" s="906" t="s">
        <v>324</v>
      </c>
      <c r="C80" s="906"/>
      <c r="D80" s="906"/>
      <c r="E80" s="906"/>
      <c r="F80" s="190">
        <f>SUM(F75:F79)</f>
        <v>3160000</v>
      </c>
      <c r="I80" s="521">
        <f t="shared" si="1"/>
        <v>0</v>
      </c>
    </row>
    <row r="81" spans="1:11" ht="15" customHeight="1">
      <c r="A81" s="941" t="s">
        <v>204</v>
      </c>
      <c r="B81" s="195" t="s">
        <v>569</v>
      </c>
      <c r="C81" s="106">
        <v>10000</v>
      </c>
      <c r="D81" s="106" t="s">
        <v>561</v>
      </c>
      <c r="E81" s="106">
        <v>12</v>
      </c>
      <c r="F81" s="189">
        <f>SUM(C81*E81)</f>
        <v>120000</v>
      </c>
      <c r="I81" s="521">
        <f t="shared" si="1"/>
        <v>0</v>
      </c>
    </row>
    <row r="82" spans="1:11" ht="15" customHeight="1">
      <c r="A82" s="942"/>
      <c r="B82" s="195" t="s">
        <v>206</v>
      </c>
      <c r="C82" s="106">
        <v>80000</v>
      </c>
      <c r="D82" s="106"/>
      <c r="E82" s="106">
        <v>4</v>
      </c>
      <c r="F82" s="189">
        <f>SUM(C82*E82)</f>
        <v>320000</v>
      </c>
      <c r="I82" s="521">
        <f t="shared" si="1"/>
        <v>0</v>
      </c>
      <c r="J82" s="111"/>
    </row>
    <row r="83" spans="1:11" ht="15" customHeight="1">
      <c r="A83" s="942"/>
      <c r="B83" s="195" t="s">
        <v>348</v>
      </c>
      <c r="C83" s="106">
        <v>14000</v>
      </c>
      <c r="D83" s="198">
        <v>0.27</v>
      </c>
      <c r="E83" s="106">
        <v>4</v>
      </c>
      <c r="F83" s="189">
        <f>SUM(C83*E83)</f>
        <v>56000</v>
      </c>
      <c r="H83" s="496">
        <v>0.27</v>
      </c>
      <c r="I83" s="521">
        <f t="shared" si="1"/>
        <v>15120.000000000002</v>
      </c>
      <c r="J83" s="111"/>
    </row>
    <row r="84" spans="1:11" ht="15" customHeight="1">
      <c r="A84" s="942"/>
      <c r="B84" s="195" t="s">
        <v>607</v>
      </c>
      <c r="C84" s="106">
        <v>270000</v>
      </c>
      <c r="D84" s="198">
        <v>0.27</v>
      </c>
      <c r="E84" s="106">
        <v>4</v>
      </c>
      <c r="F84" s="189">
        <f>SUM(C84*E84)</f>
        <v>1080000</v>
      </c>
      <c r="H84" s="496">
        <v>0.27</v>
      </c>
      <c r="I84" s="521">
        <f t="shared" si="1"/>
        <v>291600</v>
      </c>
      <c r="J84" s="111"/>
    </row>
    <row r="85" spans="1:11" ht="15" customHeight="1">
      <c r="A85" s="942"/>
      <c r="B85" s="195" t="s">
        <v>207</v>
      </c>
      <c r="C85" s="106"/>
      <c r="D85" s="188" t="s">
        <v>325</v>
      </c>
      <c r="E85" s="106"/>
      <c r="F85" s="189">
        <v>700000</v>
      </c>
      <c r="I85" s="521">
        <f t="shared" si="1"/>
        <v>0</v>
      </c>
    </row>
    <row r="86" spans="1:11" ht="15" customHeight="1">
      <c r="A86" s="942"/>
      <c r="B86" s="195" t="s">
        <v>582</v>
      </c>
      <c r="C86" s="106"/>
      <c r="D86" s="188" t="s">
        <v>325</v>
      </c>
      <c r="E86" s="106"/>
      <c r="F86" s="189">
        <v>1500000</v>
      </c>
      <c r="I86" s="521">
        <f t="shared" si="1"/>
        <v>0</v>
      </c>
    </row>
    <row r="87" spans="1:11" ht="15" customHeight="1">
      <c r="A87" s="942"/>
      <c r="B87" s="195" t="s">
        <v>583</v>
      </c>
      <c r="C87" s="106"/>
      <c r="D87" s="198">
        <v>0.27</v>
      </c>
      <c r="E87" s="106"/>
      <c r="F87" s="189">
        <v>400000</v>
      </c>
      <c r="H87" s="496">
        <v>0.27</v>
      </c>
      <c r="I87" s="521">
        <f>SUM(F87*H87)</f>
        <v>108000</v>
      </c>
    </row>
    <row r="88" spans="1:11" ht="15" customHeight="1">
      <c r="A88" s="943"/>
      <c r="B88" s="196" t="s">
        <v>326</v>
      </c>
      <c r="C88" s="192"/>
      <c r="D88" s="192"/>
      <c r="E88" s="192"/>
      <c r="F88" s="190">
        <f>SUM(F81:F87)</f>
        <v>4176000</v>
      </c>
      <c r="I88" s="521">
        <f t="shared" si="1"/>
        <v>0</v>
      </c>
    </row>
    <row r="89" spans="1:11" ht="15" customHeight="1">
      <c r="A89" s="101" t="s">
        <v>291</v>
      </c>
      <c r="B89" s="196" t="s">
        <v>403</v>
      </c>
      <c r="C89" s="192"/>
      <c r="D89" s="192"/>
      <c r="E89" s="192"/>
      <c r="F89" s="190">
        <v>0</v>
      </c>
      <c r="I89" s="521">
        <f t="shared" si="1"/>
        <v>0</v>
      </c>
    </row>
    <row r="90" spans="1:11" ht="18" customHeight="1">
      <c r="A90" s="114" t="s">
        <v>212</v>
      </c>
      <c r="B90" s="880" t="s">
        <v>327</v>
      </c>
      <c r="C90" s="880"/>
      <c r="D90" s="880"/>
      <c r="E90" s="880"/>
      <c r="F90" s="190">
        <v>4200000</v>
      </c>
      <c r="G90" s="203"/>
      <c r="H90" s="502" t="s">
        <v>328</v>
      </c>
      <c r="I90" s="690">
        <f>SUM(I37:I89)</f>
        <v>4199400</v>
      </c>
      <c r="K90" s="111"/>
    </row>
    <row r="91" spans="1:11" ht="18" customHeight="1">
      <c r="A91" s="86" t="s">
        <v>214</v>
      </c>
      <c r="B91" s="275" t="s">
        <v>215</v>
      </c>
      <c r="C91" s="276"/>
      <c r="D91" s="276"/>
      <c r="E91" s="276"/>
      <c r="F91" s="261">
        <v>4400000</v>
      </c>
      <c r="G91" s="447"/>
    </row>
    <row r="92" spans="1:11" ht="17.25" customHeight="1">
      <c r="A92" s="86" t="s">
        <v>216</v>
      </c>
      <c r="B92" s="275" t="s">
        <v>217</v>
      </c>
      <c r="C92" s="276"/>
      <c r="D92" s="276"/>
      <c r="E92" s="276"/>
      <c r="F92" s="261">
        <v>10000</v>
      </c>
    </row>
    <row r="93" spans="1:11" ht="18" customHeight="1">
      <c r="A93" s="86" t="s">
        <v>218</v>
      </c>
      <c r="B93" s="881" t="s">
        <v>219</v>
      </c>
      <c r="C93" s="881"/>
      <c r="D93" s="881"/>
      <c r="E93" s="881"/>
      <c r="F93" s="881"/>
    </row>
    <row r="94" spans="1:11" ht="18" customHeight="1">
      <c r="A94" s="86"/>
      <c r="B94" s="202" t="s">
        <v>710</v>
      </c>
      <c r="C94" s="202"/>
      <c r="D94" s="202"/>
      <c r="E94" s="202"/>
      <c r="F94" s="189">
        <v>30000</v>
      </c>
    </row>
    <row r="95" spans="1:11" ht="18" customHeight="1">
      <c r="A95" s="86"/>
      <c r="B95" s="202" t="s">
        <v>584</v>
      </c>
      <c r="C95" s="202">
        <v>96000</v>
      </c>
      <c r="D95" s="202"/>
      <c r="E95" s="202">
        <v>4</v>
      </c>
      <c r="F95" s="189">
        <f>SUM(C95*E95)</f>
        <v>384000</v>
      </c>
    </row>
    <row r="96" spans="1:11" ht="18" customHeight="1">
      <c r="A96" s="86"/>
      <c r="B96" s="202" t="s">
        <v>709</v>
      </c>
      <c r="C96" s="202"/>
      <c r="D96" s="202"/>
      <c r="E96" s="202"/>
      <c r="F96" s="189">
        <v>5000</v>
      </c>
    </row>
    <row r="97" spans="1:9" ht="18" customHeight="1">
      <c r="A97" s="86"/>
      <c r="B97" s="202" t="s">
        <v>583</v>
      </c>
      <c r="C97" s="202"/>
      <c r="D97" s="202"/>
      <c r="E97" s="202"/>
      <c r="F97" s="189">
        <v>211000</v>
      </c>
    </row>
    <row r="98" spans="1:9" ht="18" customHeight="1">
      <c r="A98" s="114" t="s">
        <v>329</v>
      </c>
      <c r="B98" s="967" t="s">
        <v>330</v>
      </c>
      <c r="C98" s="967"/>
      <c r="D98" s="967"/>
      <c r="E98" s="967"/>
      <c r="F98" s="261">
        <f>SUM(F94:F97)</f>
        <v>630000</v>
      </c>
    </row>
    <row r="99" spans="1:9" ht="30.75" customHeight="1">
      <c r="A99" s="86" t="s">
        <v>233</v>
      </c>
      <c r="B99" s="87" t="s">
        <v>234</v>
      </c>
      <c r="C99" s="106"/>
      <c r="D99" s="106"/>
      <c r="E99" s="106"/>
      <c r="F99" s="189"/>
    </row>
    <row r="100" spans="1:9" ht="18" customHeight="1">
      <c r="A100" s="840" t="s">
        <v>230</v>
      </c>
      <c r="B100" s="881" t="s">
        <v>271</v>
      </c>
      <c r="C100" s="881"/>
      <c r="D100" s="881"/>
      <c r="E100" s="881"/>
      <c r="F100" s="881"/>
    </row>
    <row r="101" spans="1:9" ht="19.5" customHeight="1">
      <c r="A101" s="840"/>
      <c r="B101" s="87"/>
      <c r="C101" s="106"/>
      <c r="D101" s="106"/>
      <c r="E101" s="106"/>
      <c r="F101" s="189">
        <v>0</v>
      </c>
    </row>
    <row r="102" spans="1:9" ht="19.5" customHeight="1">
      <c r="A102" s="840"/>
      <c r="B102" s="950" t="s">
        <v>331</v>
      </c>
      <c r="C102" s="950"/>
      <c r="D102" s="950"/>
      <c r="E102" s="950"/>
      <c r="F102" s="259">
        <f>F101</f>
        <v>0</v>
      </c>
    </row>
    <row r="103" spans="1:9" ht="23.25" customHeight="1">
      <c r="A103" s="102" t="s">
        <v>236</v>
      </c>
      <c r="B103" s="92" t="s">
        <v>237</v>
      </c>
      <c r="C103" s="95"/>
      <c r="D103" s="95"/>
      <c r="E103" s="95"/>
      <c r="F103" s="181"/>
      <c r="H103" s="503"/>
    </row>
    <row r="104" spans="1:9" ht="15.95" customHeight="1">
      <c r="A104" s="974" t="s">
        <v>35</v>
      </c>
      <c r="B104" s="965" t="s">
        <v>706</v>
      </c>
      <c r="C104" s="965"/>
      <c r="D104" s="965"/>
      <c r="E104" s="965"/>
      <c r="F104" s="356">
        <v>26140808</v>
      </c>
      <c r="G104" s="344"/>
      <c r="H104" s="503"/>
      <c r="I104" s="514"/>
    </row>
    <row r="105" spans="1:9" ht="15.95" customHeight="1">
      <c r="A105" s="974"/>
      <c r="B105" s="929" t="s">
        <v>703</v>
      </c>
      <c r="C105" s="929"/>
      <c r="D105" s="929"/>
      <c r="E105" s="929"/>
      <c r="F105" s="189"/>
    </row>
    <row r="106" spans="1:9" ht="15.95" customHeight="1">
      <c r="A106" s="974"/>
      <c r="B106" s="929" t="s">
        <v>704</v>
      </c>
      <c r="C106" s="929"/>
      <c r="D106" s="929"/>
      <c r="E106" s="929"/>
      <c r="F106" s="189"/>
    </row>
    <row r="107" spans="1:9" ht="15.95" customHeight="1">
      <c r="A107" s="974"/>
      <c r="B107" s="929" t="s">
        <v>659</v>
      </c>
      <c r="C107" s="929"/>
      <c r="D107" s="929"/>
      <c r="E107" s="929"/>
      <c r="F107" s="181"/>
    </row>
    <row r="108" spans="1:9" ht="15.95" customHeight="1">
      <c r="A108" s="974"/>
      <c r="B108" s="929" t="s">
        <v>705</v>
      </c>
      <c r="C108" s="929"/>
      <c r="D108" s="929"/>
      <c r="E108" s="929"/>
      <c r="F108" s="181"/>
    </row>
    <row r="109" spans="1:9" ht="15.95" customHeight="1">
      <c r="A109" s="974"/>
      <c r="B109" s="929" t="s">
        <v>707</v>
      </c>
      <c r="C109" s="929"/>
      <c r="D109" s="929"/>
      <c r="E109" s="929"/>
      <c r="F109" s="181"/>
    </row>
    <row r="110" spans="1:9" ht="15.95" customHeight="1">
      <c r="A110" s="974"/>
      <c r="B110" s="929" t="s">
        <v>708</v>
      </c>
      <c r="C110" s="929"/>
      <c r="D110" s="929"/>
      <c r="E110" s="929"/>
      <c r="F110" s="181"/>
    </row>
    <row r="111" spans="1:9" ht="15.95" customHeight="1">
      <c r="A111" s="974"/>
      <c r="B111" s="929" t="s">
        <v>511</v>
      </c>
      <c r="C111" s="929"/>
      <c r="D111" s="929"/>
      <c r="E111" s="929"/>
      <c r="F111" s="189"/>
      <c r="G111" s="203">
        <f>SUM(F105:F112)</f>
        <v>0</v>
      </c>
    </row>
    <row r="112" spans="1:9" ht="15.95" customHeight="1">
      <c r="A112" s="974"/>
      <c r="B112" s="929" t="s">
        <v>597</v>
      </c>
      <c r="C112" s="929"/>
      <c r="D112" s="929"/>
      <c r="E112" s="929"/>
      <c r="F112" s="181"/>
      <c r="G112" s="203"/>
    </row>
    <row r="113" spans="1:10" ht="15.95" customHeight="1" thickBot="1">
      <c r="A113" s="974"/>
      <c r="B113" s="374" t="s">
        <v>38</v>
      </c>
      <c r="C113" s="375"/>
      <c r="D113" s="375"/>
      <c r="E113" s="376"/>
      <c r="F113" s="377">
        <v>0</v>
      </c>
    </row>
    <row r="114" spans="1:10" ht="15.95" customHeight="1">
      <c r="A114" s="974"/>
      <c r="B114" s="970" t="s">
        <v>332</v>
      </c>
      <c r="C114" s="970"/>
      <c r="D114" s="970"/>
      <c r="E114" s="970"/>
      <c r="F114" s="205">
        <f>SUM(F104:F113)</f>
        <v>26140808</v>
      </c>
      <c r="G114" s="345"/>
    </row>
    <row r="115" spans="1:10" ht="24" customHeight="1">
      <c r="A115" s="86" t="s">
        <v>240</v>
      </c>
      <c r="B115" s="880" t="s">
        <v>474</v>
      </c>
      <c r="C115" s="880" t="s">
        <v>473</v>
      </c>
      <c r="D115" s="880">
        <v>0.27</v>
      </c>
      <c r="E115" s="880"/>
      <c r="F115" s="208">
        <v>1370000</v>
      </c>
      <c r="G115" s="222" t="s">
        <v>608</v>
      </c>
      <c r="H115" s="503"/>
    </row>
    <row r="116" spans="1:10" ht="17.25" customHeight="1">
      <c r="A116" s="86" t="s">
        <v>244</v>
      </c>
      <c r="B116" s="880" t="s">
        <v>245</v>
      </c>
      <c r="C116" s="880"/>
      <c r="D116" s="880">
        <v>0.27</v>
      </c>
      <c r="E116" s="880"/>
      <c r="F116" s="208">
        <v>150000</v>
      </c>
      <c r="G116" s="203"/>
    </row>
    <row r="117" spans="1:10" ht="17.25" customHeight="1">
      <c r="A117" s="86" t="s">
        <v>246</v>
      </c>
      <c r="B117" s="880" t="s">
        <v>247</v>
      </c>
      <c r="C117" s="880"/>
      <c r="D117" s="880">
        <v>0.27</v>
      </c>
      <c r="E117" s="880"/>
      <c r="F117" s="208">
        <v>100000</v>
      </c>
      <c r="G117" s="203"/>
      <c r="H117" s="618">
        <f>SUM(F115:F117)</f>
        <v>1620000</v>
      </c>
      <c r="I117" s="513">
        <v>0.27</v>
      </c>
      <c r="J117" s="120">
        <f>SUM(H117*I117)</f>
        <v>437400</v>
      </c>
    </row>
    <row r="118" spans="1:10">
      <c r="A118" s="102" t="s">
        <v>248</v>
      </c>
      <c r="B118" s="880" t="s">
        <v>275</v>
      </c>
      <c r="C118" s="880">
        <f>F115+F116+F117</f>
        <v>1620000</v>
      </c>
      <c r="D118" s="880">
        <v>0.27</v>
      </c>
      <c r="E118" s="880">
        <f>C118*D118</f>
        <v>437400</v>
      </c>
      <c r="F118" s="208">
        <v>440000</v>
      </c>
    </row>
    <row r="119" spans="1:10" ht="17.25" customHeight="1">
      <c r="A119" s="102" t="s">
        <v>250</v>
      </c>
      <c r="B119" s="881" t="s">
        <v>251</v>
      </c>
      <c r="C119" s="881"/>
      <c r="D119" s="881"/>
      <c r="E119" s="881"/>
      <c r="F119" s="881"/>
    </row>
    <row r="120" spans="1:10" ht="17.25" customHeight="1">
      <c r="A120" s="191"/>
      <c r="B120" s="150"/>
      <c r="C120" s="95"/>
      <c r="D120" s="207">
        <v>0.27</v>
      </c>
      <c r="E120" s="95"/>
      <c r="F120" s="181">
        <v>0</v>
      </c>
      <c r="G120" s="203"/>
    </row>
    <row r="121" spans="1:10" ht="17.25" customHeight="1">
      <c r="A121" s="141"/>
      <c r="B121" s="880" t="s">
        <v>333</v>
      </c>
      <c r="C121" s="880"/>
      <c r="D121" s="880"/>
      <c r="E121" s="880"/>
      <c r="F121" s="208">
        <f>SUM(F120:F120)</f>
        <v>0</v>
      </c>
      <c r="G121" s="209"/>
    </row>
    <row r="122" spans="1:10">
      <c r="A122" s="101" t="s">
        <v>254</v>
      </c>
      <c r="B122" s="880" t="s">
        <v>276</v>
      </c>
      <c r="C122" s="880">
        <f>F121</f>
        <v>0</v>
      </c>
      <c r="D122" s="880">
        <v>0.27</v>
      </c>
      <c r="E122" s="880">
        <f>C122*D122</f>
        <v>0</v>
      </c>
      <c r="F122" s="208">
        <v>0</v>
      </c>
      <c r="H122" s="499"/>
    </row>
    <row r="123" spans="1:10" ht="27" customHeight="1">
      <c r="A123" s="894" t="s">
        <v>278</v>
      </c>
      <c r="B123" s="894"/>
      <c r="C123" s="894"/>
      <c r="D123" s="894"/>
      <c r="E123" s="894"/>
      <c r="F123" s="211">
        <f>F14+F25+F31+F32+F36+F40+F45+F49+F51+F55+F59+F63+F74+F80+F88+F89+F90+F91+F92+F98+F99+F102+F103+F114+F115+F116+F117+F118+F121+F122</f>
        <v>83590808</v>
      </c>
      <c r="G123" s="203">
        <f>SUM(F123-'Kiadások COFOG szerint'!F56)</f>
        <v>0</v>
      </c>
    </row>
    <row r="124" spans="1:10" ht="26.25" customHeight="1" thickBot="1">
      <c r="A124" s="884" t="s">
        <v>120</v>
      </c>
      <c r="B124" s="884"/>
      <c r="C124" s="884"/>
      <c r="D124" s="884"/>
      <c r="E124" s="884"/>
      <c r="F124" s="884"/>
    </row>
    <row r="125" spans="1:10" ht="19.5" customHeight="1" thickBot="1">
      <c r="A125" s="886" t="s">
        <v>46</v>
      </c>
      <c r="B125" s="888" t="s">
        <v>47</v>
      </c>
      <c r="C125" s="889">
        <v>2023</v>
      </c>
      <c r="D125" s="889"/>
      <c r="E125" s="889"/>
      <c r="F125" s="889"/>
    </row>
    <row r="126" spans="1:10" ht="18" customHeight="1" thickBot="1">
      <c r="A126" s="886"/>
      <c r="B126" s="888"/>
      <c r="C126" s="890"/>
      <c r="D126" s="890"/>
      <c r="E126" s="890"/>
      <c r="F126" s="185" t="s">
        <v>509</v>
      </c>
    </row>
    <row r="127" spans="1:10" ht="15.95" customHeight="1">
      <c r="A127" s="141" t="s">
        <v>169</v>
      </c>
      <c r="B127" s="880" t="s">
        <v>170</v>
      </c>
      <c r="C127" s="880"/>
      <c r="D127" s="880">
        <v>0.27</v>
      </c>
      <c r="E127" s="880"/>
      <c r="F127" s="190">
        <f>SUM(F128)</f>
        <v>50000</v>
      </c>
    </row>
    <row r="128" spans="1:10" ht="15.95" customHeight="1">
      <c r="A128" s="141"/>
      <c r="B128" s="142" t="s">
        <v>583</v>
      </c>
      <c r="C128" s="143"/>
      <c r="D128" s="260"/>
      <c r="E128" s="143"/>
      <c r="F128" s="213">
        <v>50000</v>
      </c>
    </row>
    <row r="129" spans="1:15" ht="15.95" customHeight="1">
      <c r="A129" s="86" t="s">
        <v>188</v>
      </c>
      <c r="B129" s="87" t="s">
        <v>267</v>
      </c>
      <c r="C129" s="106"/>
      <c r="D129" s="198"/>
      <c r="E129" s="106"/>
      <c r="F129" s="189"/>
      <c r="G129" s="335" t="s">
        <v>374</v>
      </c>
      <c r="H129" s="504"/>
      <c r="I129" s="515"/>
      <c r="J129" s="336"/>
      <c r="K129" s="449">
        <f>SUM('Bevételek COFOG szerint 2023'!F49)</f>
        <v>885615</v>
      </c>
      <c r="L129" s="335" t="s">
        <v>372</v>
      </c>
      <c r="M129" s="120"/>
      <c r="O129" s="120"/>
    </row>
    <row r="130" spans="1:15" ht="15.95" customHeight="1">
      <c r="A130" s="86" t="s">
        <v>192</v>
      </c>
      <c r="B130" s="880" t="s">
        <v>279</v>
      </c>
      <c r="C130" s="880"/>
      <c r="D130" s="880">
        <v>0.27</v>
      </c>
      <c r="E130" s="880"/>
      <c r="F130" s="190">
        <v>0</v>
      </c>
      <c r="G130" s="203"/>
    </row>
    <row r="131" spans="1:15" ht="15.95" customHeight="1">
      <c r="A131" s="973" t="s">
        <v>198</v>
      </c>
      <c r="B131" s="881" t="s">
        <v>199</v>
      </c>
      <c r="C131" s="881"/>
      <c r="D131" s="881"/>
      <c r="E131" s="881"/>
      <c r="F131" s="881"/>
      <c r="G131" s="203"/>
    </row>
    <row r="132" spans="1:15" ht="15.95" customHeight="1">
      <c r="A132" s="973"/>
      <c r="B132" s="87"/>
      <c r="C132" s="106"/>
      <c r="D132" s="106"/>
      <c r="E132" s="106"/>
      <c r="F132" s="189">
        <v>100000</v>
      </c>
      <c r="G132" s="203"/>
    </row>
    <row r="133" spans="1:15" ht="15.95" customHeight="1">
      <c r="A133" s="973"/>
      <c r="B133" s="880" t="s">
        <v>334</v>
      </c>
      <c r="C133" s="880"/>
      <c r="D133" s="880"/>
      <c r="E133" s="880"/>
      <c r="F133" s="190">
        <f>SUM(F132)</f>
        <v>100000</v>
      </c>
      <c r="G133" s="203"/>
    </row>
    <row r="134" spans="1:15" ht="15.95" customHeight="1">
      <c r="A134" s="928" t="s">
        <v>204</v>
      </c>
      <c r="B134" s="87" t="s">
        <v>205</v>
      </c>
      <c r="C134" s="106">
        <v>50000</v>
      </c>
      <c r="D134" s="198">
        <v>0.27</v>
      </c>
      <c r="E134" s="106">
        <v>12</v>
      </c>
      <c r="F134" s="189">
        <f>SUM(C134*E134)</f>
        <v>600000</v>
      </c>
      <c r="G134" s="203"/>
    </row>
    <row r="135" spans="1:15" ht="15.95" customHeight="1">
      <c r="A135" s="928"/>
      <c r="B135" s="880" t="s">
        <v>326</v>
      </c>
      <c r="C135" s="880"/>
      <c r="D135" s="880"/>
      <c r="E135" s="880"/>
      <c r="F135" s="190">
        <f>F134</f>
        <v>600000</v>
      </c>
      <c r="G135" s="203"/>
    </row>
    <row r="136" spans="1:15" ht="20.25" customHeight="1">
      <c r="A136" s="86" t="s">
        <v>212</v>
      </c>
      <c r="B136" s="87" t="s">
        <v>270</v>
      </c>
      <c r="C136" s="106">
        <f>F127+F130+F133+F135</f>
        <v>750000</v>
      </c>
      <c r="D136" s="198">
        <v>0.27</v>
      </c>
      <c r="E136" s="106">
        <f>C136*D136</f>
        <v>202500</v>
      </c>
      <c r="F136" s="261">
        <v>202500</v>
      </c>
      <c r="G136" s="212"/>
      <c r="J136" s="111"/>
    </row>
    <row r="137" spans="1:15" ht="19.5" customHeight="1">
      <c r="A137" s="114" t="s">
        <v>246</v>
      </c>
      <c r="B137" s="880" t="s">
        <v>280</v>
      </c>
      <c r="C137" s="880"/>
      <c r="D137" s="880"/>
      <c r="E137" s="880"/>
      <c r="F137" s="190"/>
      <c r="G137" s="203"/>
    </row>
    <row r="138" spans="1:15">
      <c r="A138" s="91" t="s">
        <v>248</v>
      </c>
      <c r="B138" s="880" t="s">
        <v>270</v>
      </c>
      <c r="C138" s="880"/>
      <c r="D138" s="880"/>
      <c r="E138" s="880"/>
      <c r="F138" s="190"/>
      <c r="G138" s="203"/>
    </row>
    <row r="139" spans="1:15" ht="19.5" customHeight="1">
      <c r="A139" s="114" t="s">
        <v>250</v>
      </c>
      <c r="B139" s="880" t="s">
        <v>351</v>
      </c>
      <c r="C139" s="880"/>
      <c r="D139" s="880">
        <v>0.27</v>
      </c>
      <c r="E139" s="880"/>
      <c r="F139" s="190">
        <v>0</v>
      </c>
      <c r="G139" s="203"/>
    </row>
    <row r="140" spans="1:15" ht="23.25" customHeight="1">
      <c r="A140" s="91" t="s">
        <v>254</v>
      </c>
      <c r="B140" s="880" t="s">
        <v>276</v>
      </c>
      <c r="C140" s="880">
        <f>F139</f>
        <v>0</v>
      </c>
      <c r="D140" s="880">
        <v>0.27</v>
      </c>
      <c r="E140" s="880"/>
      <c r="F140" s="190">
        <v>0</v>
      </c>
      <c r="G140" s="203"/>
    </row>
    <row r="141" spans="1:15" ht="21" customHeight="1">
      <c r="A141" s="894" t="s">
        <v>278</v>
      </c>
      <c r="B141" s="894"/>
      <c r="C141" s="894"/>
      <c r="D141" s="894"/>
      <c r="E141" s="894"/>
      <c r="F141" s="211">
        <f>F130+F133+F135+F136+F127+F139+F140+F137+F138</f>
        <v>952500</v>
      </c>
      <c r="G141" s="203">
        <f>SUM(F141-'Kiadások COFOG szerint'!F71)</f>
        <v>0</v>
      </c>
    </row>
    <row r="142" spans="1:15" ht="26.25" customHeight="1" thickBot="1">
      <c r="A142" s="900" t="s">
        <v>281</v>
      </c>
      <c r="B142" s="900"/>
      <c r="C142" s="900"/>
      <c r="D142" s="900"/>
      <c r="E142" s="900"/>
      <c r="F142" s="900"/>
    </row>
    <row r="143" spans="1:15" ht="17.25" customHeight="1" thickBot="1">
      <c r="A143" s="886" t="s">
        <v>46</v>
      </c>
      <c r="B143" s="888" t="s">
        <v>47</v>
      </c>
      <c r="C143" s="889">
        <v>2023</v>
      </c>
      <c r="D143" s="889"/>
      <c r="E143" s="889"/>
      <c r="F143" s="889"/>
    </row>
    <row r="144" spans="1:15" ht="21.75" customHeight="1" thickBot="1">
      <c r="A144" s="886"/>
      <c r="B144" s="888"/>
      <c r="C144" s="890" t="s">
        <v>609</v>
      </c>
      <c r="D144" s="890"/>
      <c r="E144" s="890"/>
      <c r="F144" s="185" t="s">
        <v>509</v>
      </c>
    </row>
    <row r="145" spans="1:10" ht="15" customHeight="1">
      <c r="A145" s="318" t="s">
        <v>169</v>
      </c>
      <c r="B145" s="142" t="s">
        <v>170</v>
      </c>
      <c r="C145" s="143">
        <v>40000</v>
      </c>
      <c r="D145" s="260">
        <v>0.27</v>
      </c>
      <c r="E145" s="143"/>
      <c r="F145" s="717">
        <v>50000</v>
      </c>
      <c r="H145" s="496">
        <v>0.27</v>
      </c>
      <c r="I145" s="77">
        <f>SUM(F145*D145)</f>
        <v>13500</v>
      </c>
    </row>
    <row r="146" spans="1:10" ht="15" customHeight="1">
      <c r="A146" s="114" t="s">
        <v>188</v>
      </c>
      <c r="B146" s="87" t="s">
        <v>405</v>
      </c>
      <c r="C146" s="106">
        <v>40000</v>
      </c>
      <c r="D146" s="260">
        <v>0.27</v>
      </c>
      <c r="E146" s="106">
        <v>12</v>
      </c>
      <c r="F146" s="189">
        <f>SUM(C146*E146)</f>
        <v>480000</v>
      </c>
      <c r="H146" s="496">
        <v>0.27</v>
      </c>
      <c r="I146" s="77">
        <f>SUM(F146*D146)</f>
        <v>129600.00000000001</v>
      </c>
    </row>
    <row r="147" spans="1:10" ht="15" customHeight="1">
      <c r="A147" s="114" t="s">
        <v>190</v>
      </c>
      <c r="B147" s="87" t="s">
        <v>406</v>
      </c>
      <c r="C147" s="106">
        <v>80000</v>
      </c>
      <c r="D147" s="260">
        <v>0.27</v>
      </c>
      <c r="E147" s="106">
        <v>12</v>
      </c>
      <c r="F147" s="189">
        <f>SUM(C147*E147)</f>
        <v>960000</v>
      </c>
      <c r="H147" s="496">
        <v>0.27</v>
      </c>
      <c r="I147" s="77">
        <f t="shared" ref="I147:I151" si="4">SUM(F147*D147)</f>
        <v>259200.00000000003</v>
      </c>
    </row>
    <row r="148" spans="1:10" ht="15" customHeight="1">
      <c r="A148" s="114" t="s">
        <v>192</v>
      </c>
      <c r="B148" s="87" t="s">
        <v>407</v>
      </c>
      <c r="C148" s="106">
        <v>12000</v>
      </c>
      <c r="D148" s="260">
        <v>0.27</v>
      </c>
      <c r="E148" s="106">
        <v>12</v>
      </c>
      <c r="F148" s="189">
        <f>SUM(C148*E148)</f>
        <v>144000</v>
      </c>
      <c r="H148" s="496">
        <v>0.27</v>
      </c>
      <c r="I148" s="77">
        <f t="shared" si="4"/>
        <v>38880</v>
      </c>
    </row>
    <row r="149" spans="1:10" ht="15" customHeight="1">
      <c r="A149" s="114" t="s">
        <v>186</v>
      </c>
      <c r="B149" s="87" t="s">
        <v>287</v>
      </c>
      <c r="C149" s="106"/>
      <c r="D149" s="260"/>
      <c r="E149" s="106"/>
      <c r="F149" s="261">
        <f>SUM(F146:F148)</f>
        <v>1584000</v>
      </c>
      <c r="I149" s="77"/>
    </row>
    <row r="150" spans="1:10" ht="15" customHeight="1">
      <c r="A150" s="114" t="s">
        <v>198</v>
      </c>
      <c r="B150" s="87" t="s">
        <v>404</v>
      </c>
      <c r="C150" s="106">
        <v>200000</v>
      </c>
      <c r="D150" s="260">
        <v>0.27</v>
      </c>
      <c r="E150" s="106">
        <v>1</v>
      </c>
      <c r="F150" s="261">
        <v>200000</v>
      </c>
      <c r="I150" s="77">
        <f t="shared" si="4"/>
        <v>54000</v>
      </c>
    </row>
    <row r="151" spans="1:10" ht="15" customHeight="1">
      <c r="A151" s="91" t="s">
        <v>204</v>
      </c>
      <c r="B151" s="92" t="s">
        <v>408</v>
      </c>
      <c r="C151" s="95">
        <v>150000</v>
      </c>
      <c r="D151" s="260">
        <v>0.27</v>
      </c>
      <c r="E151" s="95"/>
      <c r="F151" s="540">
        <v>150000</v>
      </c>
      <c r="H151" s="496">
        <v>0.27</v>
      </c>
      <c r="I151" s="77">
        <f t="shared" si="4"/>
        <v>40500</v>
      </c>
    </row>
    <row r="152" spans="1:10" ht="22.5" customHeight="1">
      <c r="A152" s="91" t="s">
        <v>212</v>
      </c>
      <c r="B152" s="92" t="s">
        <v>270</v>
      </c>
      <c r="C152" s="95"/>
      <c r="D152" s="260">
        <v>0.27</v>
      </c>
      <c r="E152" s="95"/>
      <c r="F152" s="540">
        <v>500000</v>
      </c>
      <c r="I152" s="532">
        <f>SUM(I145:I151)</f>
        <v>535680</v>
      </c>
      <c r="J152" s="532"/>
    </row>
    <row r="153" spans="1:10" ht="15" customHeight="1">
      <c r="A153" s="91" t="s">
        <v>242</v>
      </c>
      <c r="B153" s="92" t="s">
        <v>536</v>
      </c>
      <c r="C153" s="218" t="s">
        <v>537</v>
      </c>
      <c r="D153" s="260"/>
      <c r="E153" s="95"/>
      <c r="F153" s="540"/>
      <c r="I153" s="516"/>
      <c r="J153" s="151"/>
    </row>
    <row r="154" spans="1:10" ht="18" customHeight="1">
      <c r="A154" s="91" t="s">
        <v>250</v>
      </c>
      <c r="B154" s="92" t="s">
        <v>351</v>
      </c>
      <c r="C154" s="95" t="s">
        <v>531</v>
      </c>
      <c r="D154" s="260">
        <v>0.27</v>
      </c>
      <c r="E154" s="95"/>
      <c r="F154" s="540"/>
      <c r="I154" s="516"/>
      <c r="J154" s="151"/>
    </row>
    <row r="155" spans="1:10" ht="22.5" customHeight="1" thickBot="1">
      <c r="A155" s="91" t="s">
        <v>254</v>
      </c>
      <c r="B155" s="92" t="s">
        <v>276</v>
      </c>
      <c r="C155" s="95"/>
      <c r="D155" s="260">
        <v>0.27</v>
      </c>
      <c r="E155" s="95"/>
      <c r="F155" s="540"/>
      <c r="I155" s="516"/>
      <c r="J155" s="151"/>
    </row>
    <row r="156" spans="1:10" ht="19.5" customHeight="1" thickBot="1">
      <c r="A156" s="894" t="s">
        <v>278</v>
      </c>
      <c r="B156" s="894"/>
      <c r="C156" s="894"/>
      <c r="D156" s="894"/>
      <c r="E156" s="894"/>
      <c r="F156" s="211">
        <f>SUM(F145+F149+F150+F151+F152+F153+F154+F155)</f>
        <v>2484000</v>
      </c>
      <c r="G156" s="203">
        <f>SUM(F156-'Kiadások COFOG szerint'!F86)</f>
        <v>0</v>
      </c>
    </row>
    <row r="157" spans="1:10" ht="21.75" customHeight="1" thickBot="1">
      <c r="A157" s="900" t="s">
        <v>282</v>
      </c>
      <c r="B157" s="900"/>
      <c r="C157" s="900"/>
      <c r="D157" s="900"/>
      <c r="E157" s="900"/>
      <c r="F157" s="900"/>
    </row>
    <row r="158" spans="1:10" ht="22.5" customHeight="1" thickBot="1">
      <c r="A158" s="955" t="s">
        <v>46</v>
      </c>
      <c r="B158" s="956" t="s">
        <v>47</v>
      </c>
      <c r="C158" s="889">
        <v>2023</v>
      </c>
      <c r="D158" s="889"/>
      <c r="E158" s="889"/>
      <c r="F158" s="889"/>
    </row>
    <row r="159" spans="1:10" ht="22.5" customHeight="1" thickBot="1">
      <c r="A159" s="955"/>
      <c r="B159" s="956"/>
      <c r="C159" s="890"/>
      <c r="D159" s="890"/>
      <c r="E159" s="890"/>
      <c r="F159" s="185" t="s">
        <v>509</v>
      </c>
      <c r="I159" s="77"/>
    </row>
    <row r="160" spans="1:10" ht="15.95" customHeight="1">
      <c r="A160" s="141" t="s">
        <v>155</v>
      </c>
      <c r="B160" s="880" t="s">
        <v>156</v>
      </c>
      <c r="C160" s="880"/>
      <c r="D160" s="880">
        <v>0.27</v>
      </c>
      <c r="E160" s="880"/>
      <c r="F160" s="208">
        <v>300000</v>
      </c>
      <c r="G160" s="203"/>
      <c r="H160" s="496">
        <v>0.27</v>
      </c>
      <c r="I160" s="77">
        <f>SUM(F160*D160)</f>
        <v>81000</v>
      </c>
    </row>
    <row r="161" spans="1:10" ht="15.95" customHeight="1">
      <c r="A161" s="318" t="s">
        <v>313</v>
      </c>
      <c r="B161" s="87" t="s">
        <v>628</v>
      </c>
      <c r="C161" s="87"/>
      <c r="D161" s="142"/>
      <c r="E161" s="87"/>
      <c r="F161" s="329">
        <v>120000</v>
      </c>
      <c r="G161" s="203"/>
      <c r="I161" s="77"/>
    </row>
    <row r="162" spans="1:10" ht="15.95" customHeight="1">
      <c r="A162" s="86" t="s">
        <v>169</v>
      </c>
      <c r="B162" s="87" t="s">
        <v>170</v>
      </c>
      <c r="C162" s="106"/>
      <c r="D162" s="260">
        <v>0.27</v>
      </c>
      <c r="E162" s="106"/>
      <c r="F162" s="189">
        <v>1000000</v>
      </c>
      <c r="G162" s="203"/>
      <c r="H162" s="496">
        <v>0.27</v>
      </c>
      <c r="I162" s="77">
        <f t="shared" ref="I162:I166" si="5">SUM(F162*D162)</f>
        <v>270000</v>
      </c>
    </row>
    <row r="163" spans="1:10" ht="15.95" customHeight="1">
      <c r="A163" s="86" t="s">
        <v>173</v>
      </c>
      <c r="B163" s="87" t="s">
        <v>172</v>
      </c>
      <c r="C163" s="106"/>
      <c r="D163" s="198">
        <v>0.27</v>
      </c>
      <c r="E163" s="106"/>
      <c r="F163" s="189">
        <v>500000</v>
      </c>
      <c r="G163" s="203"/>
      <c r="H163" s="496">
        <v>0.27</v>
      </c>
      <c r="I163" s="77">
        <f t="shared" si="5"/>
        <v>135000</v>
      </c>
    </row>
    <row r="164" spans="1:10" ht="15.95" customHeight="1">
      <c r="A164" s="114" t="s">
        <v>169</v>
      </c>
      <c r="B164" s="957" t="s">
        <v>319</v>
      </c>
      <c r="C164" s="958"/>
      <c r="D164" s="958"/>
      <c r="E164" s="959"/>
      <c r="F164" s="261">
        <f>F162+F163</f>
        <v>1500000</v>
      </c>
      <c r="G164" s="203"/>
      <c r="I164" s="77">
        <f t="shared" si="5"/>
        <v>0</v>
      </c>
    </row>
    <row r="165" spans="1:10" ht="15.95" customHeight="1">
      <c r="A165" s="114" t="s">
        <v>196</v>
      </c>
      <c r="B165" s="763" t="s">
        <v>753</v>
      </c>
      <c r="C165" s="764"/>
      <c r="D165" s="766">
        <v>0.27</v>
      </c>
      <c r="E165" s="765"/>
      <c r="F165" s="540">
        <v>490000</v>
      </c>
      <c r="G165" s="203"/>
      <c r="I165" s="77">
        <f>SUM(F165*D165)</f>
        <v>132300</v>
      </c>
    </row>
    <row r="166" spans="1:10" ht="15.95" customHeight="1">
      <c r="A166" s="928" t="s">
        <v>204</v>
      </c>
      <c r="B166" s="92" t="s">
        <v>409</v>
      </c>
      <c r="C166" s="95"/>
      <c r="D166" s="207">
        <v>0.27</v>
      </c>
      <c r="E166" s="95"/>
      <c r="F166" s="181">
        <v>1310000</v>
      </c>
      <c r="G166" s="203"/>
      <c r="H166" s="496">
        <v>0.27</v>
      </c>
      <c r="I166" s="77">
        <f t="shared" si="5"/>
        <v>353700</v>
      </c>
    </row>
    <row r="167" spans="1:10" ht="15.95" customHeight="1">
      <c r="A167" s="928"/>
      <c r="B167" s="880" t="s">
        <v>326</v>
      </c>
      <c r="C167" s="880"/>
      <c r="D167" s="880"/>
      <c r="E167" s="880"/>
      <c r="F167" s="208">
        <f>SUM(F166:F166)</f>
        <v>1310000</v>
      </c>
      <c r="I167" s="77"/>
    </row>
    <row r="168" spans="1:10" ht="15.95" customHeight="1">
      <c r="A168" s="91" t="s">
        <v>291</v>
      </c>
      <c r="B168" s="92" t="s">
        <v>687</v>
      </c>
      <c r="C168" s="92"/>
      <c r="D168" s="92"/>
      <c r="E168" s="92"/>
      <c r="F168" s="540"/>
      <c r="I168" s="77"/>
    </row>
    <row r="169" spans="1:10" ht="23.25" customHeight="1" thickBot="1">
      <c r="A169" s="102" t="s">
        <v>212</v>
      </c>
      <c r="B169" s="92" t="s">
        <v>270</v>
      </c>
      <c r="C169" s="95">
        <f>F164+F167+F160+F165</f>
        <v>3600000</v>
      </c>
      <c r="D169" s="207">
        <v>0.27</v>
      </c>
      <c r="E169" s="95">
        <f>C169*D169</f>
        <v>972000.00000000012</v>
      </c>
      <c r="F169" s="540">
        <v>972000</v>
      </c>
      <c r="G169" s="203"/>
      <c r="I169" s="77">
        <f>SUM(I160:I168)</f>
        <v>972000</v>
      </c>
    </row>
    <row r="170" spans="1:10" ht="23.25" customHeight="1" thickBot="1">
      <c r="A170" s="894" t="s">
        <v>278</v>
      </c>
      <c r="B170" s="894"/>
      <c r="C170" s="894"/>
      <c r="D170" s="894"/>
      <c r="E170" s="894"/>
      <c r="F170" s="211">
        <f>F160+F164+F167+F169+F168+F161+F165</f>
        <v>4692000</v>
      </c>
      <c r="G170" s="203">
        <f>SUM(F170-'Kiadások COFOG szerint'!F98)</f>
        <v>0</v>
      </c>
    </row>
    <row r="171" spans="1:10" ht="25.5" customHeight="1" thickBot="1">
      <c r="A171" s="960" t="s">
        <v>121</v>
      </c>
      <c r="B171" s="961"/>
      <c r="C171" s="961"/>
      <c r="D171" s="961"/>
      <c r="E171" s="961"/>
      <c r="F171" s="962"/>
    </row>
    <row r="172" spans="1:10" ht="22.5" customHeight="1" thickBot="1">
      <c r="A172" s="885" t="s">
        <v>46</v>
      </c>
      <c r="B172" s="887" t="s">
        <v>47</v>
      </c>
      <c r="C172" s="889">
        <v>2023</v>
      </c>
      <c r="D172" s="889"/>
      <c r="E172" s="889"/>
      <c r="F172" s="889"/>
    </row>
    <row r="173" spans="1:10" ht="24" customHeight="1" thickBot="1">
      <c r="A173" s="885"/>
      <c r="B173" s="887"/>
      <c r="C173" s="890"/>
      <c r="D173" s="890"/>
      <c r="E173" s="890"/>
      <c r="F173" s="185" t="s">
        <v>509</v>
      </c>
    </row>
    <row r="174" spans="1:10">
      <c r="A174" s="152" t="s">
        <v>231</v>
      </c>
      <c r="B174" s="880" t="s">
        <v>283</v>
      </c>
      <c r="C174" s="880"/>
      <c r="D174" s="880"/>
      <c r="E174" s="880"/>
      <c r="F174" s="208">
        <v>0</v>
      </c>
      <c r="H174" s="499"/>
      <c r="J174" s="77"/>
    </row>
    <row r="175" spans="1:10" ht="13.5" thickBot="1">
      <c r="A175" s="86" t="s">
        <v>41</v>
      </c>
      <c r="B175" s="880" t="s">
        <v>258</v>
      </c>
      <c r="C175" s="880"/>
      <c r="D175" s="880"/>
      <c r="E175" s="880"/>
      <c r="F175" s="208">
        <v>9750886</v>
      </c>
    </row>
    <row r="176" spans="1:10" ht="22.5" customHeight="1" thickBot="1">
      <c r="A176" s="894" t="s">
        <v>278</v>
      </c>
      <c r="B176" s="894"/>
      <c r="C176" s="894"/>
      <c r="D176" s="894"/>
      <c r="E176" s="894"/>
      <c r="F176" s="211">
        <f>F174+F175</f>
        <v>9750886</v>
      </c>
      <c r="G176" s="203">
        <f>SUM(F176-'Kiadások COFOG szerint'!F104)</f>
        <v>0</v>
      </c>
    </row>
    <row r="177" spans="1:15" ht="23.25" customHeight="1" thickBot="1">
      <c r="A177" s="900" t="s">
        <v>335</v>
      </c>
      <c r="B177" s="900"/>
      <c r="C177" s="900"/>
      <c r="D177" s="900"/>
      <c r="E177" s="900"/>
      <c r="F177" s="900"/>
    </row>
    <row r="178" spans="1:15" ht="19.5" customHeight="1">
      <c r="A178" s="939" t="s">
        <v>46</v>
      </c>
      <c r="B178" s="940" t="s">
        <v>47</v>
      </c>
      <c r="C178" s="889">
        <v>2023</v>
      </c>
      <c r="D178" s="889"/>
      <c r="E178" s="889"/>
      <c r="F178" s="889"/>
    </row>
    <row r="179" spans="1:15" ht="17.25" customHeight="1" thickBot="1">
      <c r="A179" s="955"/>
      <c r="B179" s="956"/>
      <c r="C179" s="890"/>
      <c r="D179" s="890"/>
      <c r="E179" s="890"/>
      <c r="F179" s="677" t="s">
        <v>509</v>
      </c>
    </row>
    <row r="180" spans="1:15" ht="20.25" customHeight="1">
      <c r="A180" s="101" t="s">
        <v>499</v>
      </c>
      <c r="B180" s="953" t="s">
        <v>497</v>
      </c>
      <c r="C180" s="954"/>
      <c r="D180" s="954"/>
      <c r="E180" s="954"/>
      <c r="F180" s="189">
        <v>48529410</v>
      </c>
      <c r="G180" s="968" t="s">
        <v>352</v>
      </c>
      <c r="H180" s="968"/>
      <c r="I180" s="968"/>
      <c r="J180" s="969"/>
      <c r="K180" s="39"/>
      <c r="L180" s="39"/>
      <c r="M180" s="39"/>
      <c r="N180" s="39"/>
      <c r="O180" s="39"/>
    </row>
    <row r="181" spans="1:15" ht="20.25" customHeight="1">
      <c r="A181" s="101"/>
      <c r="B181" s="945" t="s">
        <v>498</v>
      </c>
      <c r="C181" s="946"/>
      <c r="D181" s="946"/>
      <c r="E181" s="946"/>
      <c r="F181" s="947"/>
      <c r="G181" s="439"/>
      <c r="H181" s="505"/>
      <c r="I181" s="517"/>
      <c r="J181" s="441"/>
      <c r="K181" s="39"/>
      <c r="L181" s="39"/>
      <c r="M181" s="39"/>
      <c r="N181" s="39"/>
      <c r="O181" s="39"/>
    </row>
    <row r="182" spans="1:15" ht="20.25" customHeight="1">
      <c r="A182" s="899" t="s">
        <v>594</v>
      </c>
      <c r="B182" s="944" t="s">
        <v>512</v>
      </c>
      <c r="C182" s="944"/>
      <c r="D182" s="944"/>
      <c r="E182" s="944"/>
      <c r="F182" s="948">
        <v>14000000</v>
      </c>
      <c r="G182" s="439"/>
      <c r="H182" s="505"/>
      <c r="I182" s="517"/>
      <c r="J182" s="441"/>
      <c r="K182" s="39"/>
      <c r="L182" s="39"/>
      <c r="M182" s="39"/>
      <c r="N182" s="39"/>
      <c r="O182" s="39"/>
    </row>
    <row r="183" spans="1:15" ht="20.25" customHeight="1">
      <c r="A183" s="899"/>
      <c r="B183" s="944" t="s">
        <v>513</v>
      </c>
      <c r="C183" s="944"/>
      <c r="D183" s="944"/>
      <c r="E183" s="944"/>
      <c r="F183" s="949"/>
      <c r="G183" s="439"/>
      <c r="H183" s="505"/>
      <c r="I183" s="517"/>
      <c r="J183" s="441"/>
      <c r="K183" s="39"/>
      <c r="L183" s="39"/>
      <c r="M183" s="39"/>
      <c r="N183" s="39"/>
      <c r="O183" s="39"/>
    </row>
    <row r="184" spans="1:15" ht="20.25" customHeight="1" thickBot="1">
      <c r="A184" s="101" t="s">
        <v>499</v>
      </c>
      <c r="B184" s="944" t="s">
        <v>514</v>
      </c>
      <c r="C184" s="944"/>
      <c r="D184" s="944"/>
      <c r="E184" s="944"/>
      <c r="F184" s="189">
        <v>550000</v>
      </c>
      <c r="G184" s="439"/>
      <c r="H184" s="505"/>
      <c r="I184" s="517"/>
      <c r="J184" s="441"/>
      <c r="K184" s="39"/>
      <c r="L184" s="39"/>
      <c r="M184" s="39"/>
      <c r="N184" s="39"/>
      <c r="O184" s="39"/>
    </row>
    <row r="185" spans="1:15" ht="18.75" customHeight="1">
      <c r="A185" s="450"/>
      <c r="B185" s="687" t="s">
        <v>260</v>
      </c>
      <c r="C185" s="688"/>
      <c r="D185" s="688"/>
      <c r="E185" s="688"/>
      <c r="F185" s="757">
        <f>SUM(F186:F196)</f>
        <v>228287193</v>
      </c>
      <c r="G185" s="440"/>
      <c r="H185" s="505"/>
      <c r="I185" s="517"/>
      <c r="J185" s="441"/>
      <c r="K185" s="39"/>
      <c r="L185" s="39"/>
      <c r="M185" s="39"/>
      <c r="N185" s="39"/>
      <c r="O185" s="39"/>
    </row>
    <row r="186" spans="1:15" ht="17.25" customHeight="1">
      <c r="A186" s="951" t="s">
        <v>259</v>
      </c>
      <c r="B186" s="950" t="s">
        <v>336</v>
      </c>
      <c r="C186" s="950"/>
      <c r="D186" s="950"/>
      <c r="E186" s="950"/>
      <c r="F186" s="189">
        <v>75259230</v>
      </c>
      <c r="G186" s="344"/>
      <c r="H186" s="503"/>
      <c r="I186" s="514"/>
      <c r="J186" s="39"/>
      <c r="K186" s="39"/>
      <c r="L186" s="39"/>
      <c r="M186" s="39"/>
      <c r="N186" s="39"/>
      <c r="O186" s="39"/>
    </row>
    <row r="187" spans="1:15" ht="17.25" customHeight="1">
      <c r="A187" s="951"/>
      <c r="B187" s="950" t="s">
        <v>639</v>
      </c>
      <c r="C187" s="950"/>
      <c r="D187" s="950"/>
      <c r="E187" s="950"/>
      <c r="F187" s="189">
        <v>22116100</v>
      </c>
      <c r="G187" s="344"/>
      <c r="H187" s="503"/>
      <c r="I187" s="514"/>
      <c r="J187" s="39"/>
      <c r="K187" s="39"/>
      <c r="L187" s="39"/>
      <c r="M187" s="39"/>
      <c r="N187" s="39"/>
      <c r="O187" s="39"/>
    </row>
    <row r="188" spans="1:15" ht="17.25" customHeight="1">
      <c r="A188" s="951"/>
      <c r="B188" s="950" t="s">
        <v>751</v>
      </c>
      <c r="C188" s="950"/>
      <c r="D188" s="950"/>
      <c r="E188" s="950"/>
      <c r="F188" s="189">
        <v>3292800</v>
      </c>
      <c r="G188" s="344"/>
      <c r="H188" s="503"/>
      <c r="I188" s="514"/>
      <c r="J188" s="39"/>
      <c r="K188" s="39"/>
      <c r="L188" s="39"/>
      <c r="M188" s="39"/>
      <c r="N188" s="39"/>
      <c r="O188" s="39"/>
    </row>
    <row r="189" spans="1:15" ht="17.25" customHeight="1">
      <c r="A189" s="951"/>
      <c r="B189" s="950" t="s">
        <v>337</v>
      </c>
      <c r="C189" s="950"/>
      <c r="D189" s="950"/>
      <c r="E189" s="950"/>
      <c r="F189" s="189">
        <v>10099908</v>
      </c>
      <c r="G189" s="344"/>
      <c r="H189" s="503"/>
      <c r="I189" s="514"/>
      <c r="J189" s="39"/>
      <c r="K189" s="39"/>
      <c r="L189" s="39"/>
      <c r="M189" s="39"/>
      <c r="N189" s="39"/>
      <c r="O189" s="39"/>
    </row>
    <row r="190" spans="1:15" ht="17.25" customHeight="1">
      <c r="A190" s="951"/>
      <c r="B190" s="950" t="s">
        <v>750</v>
      </c>
      <c r="C190" s="950"/>
      <c r="D190" s="950"/>
      <c r="E190" s="950"/>
      <c r="F190" s="189">
        <v>8573386</v>
      </c>
      <c r="G190" s="344"/>
      <c r="H190" s="503"/>
      <c r="I190" s="514"/>
      <c r="J190" s="39"/>
      <c r="K190" s="39"/>
      <c r="L190" s="39"/>
      <c r="M190" s="39"/>
      <c r="N190" s="39"/>
      <c r="O190" s="39"/>
    </row>
    <row r="191" spans="1:15" ht="17.25" customHeight="1">
      <c r="A191" s="951"/>
      <c r="B191" s="950" t="s">
        <v>410</v>
      </c>
      <c r="C191" s="950"/>
      <c r="D191" s="950"/>
      <c r="E191" s="950"/>
      <c r="F191" s="189">
        <v>72147110</v>
      </c>
      <c r="G191" s="344"/>
      <c r="H191" s="503"/>
      <c r="I191" s="514"/>
      <c r="J191" s="39"/>
      <c r="K191" s="39"/>
      <c r="L191" s="39"/>
      <c r="M191" s="39"/>
      <c r="N191" s="39"/>
      <c r="O191" s="39"/>
    </row>
    <row r="192" spans="1:15" ht="17.25" customHeight="1">
      <c r="A192" s="951"/>
      <c r="B192" s="950" t="s">
        <v>472</v>
      </c>
      <c r="C192" s="950"/>
      <c r="D192" s="950"/>
      <c r="E192" s="950"/>
      <c r="F192" s="189">
        <v>10798948</v>
      </c>
      <c r="G192" s="346"/>
      <c r="H192" s="503"/>
      <c r="I192" s="514"/>
      <c r="J192" s="39"/>
      <c r="K192" s="39"/>
      <c r="L192" s="39"/>
      <c r="M192" s="39"/>
      <c r="N192" s="39"/>
      <c r="O192" s="39"/>
    </row>
    <row r="193" spans="1:15" ht="17.25" customHeight="1">
      <c r="A193" s="951"/>
      <c r="B193" s="950" t="s">
        <v>755</v>
      </c>
      <c r="C193" s="950"/>
      <c r="D193" s="950"/>
      <c r="E193" s="950"/>
      <c r="F193" s="189">
        <v>4378080</v>
      </c>
      <c r="G193" s="346"/>
      <c r="H193" s="503"/>
      <c r="I193" s="514"/>
      <c r="J193" s="39"/>
      <c r="K193" s="39"/>
      <c r="L193" s="39"/>
      <c r="M193" s="39"/>
      <c r="N193" s="39"/>
      <c r="O193" s="39"/>
    </row>
    <row r="194" spans="1:15" ht="18" customHeight="1">
      <c r="A194" s="951"/>
      <c r="B194" s="950" t="s">
        <v>411</v>
      </c>
      <c r="C194" s="950"/>
      <c r="D194" s="950"/>
      <c r="E194" s="950"/>
      <c r="F194" s="189">
        <v>5800273</v>
      </c>
      <c r="G194" s="344"/>
      <c r="H194" s="503"/>
      <c r="I194" s="514"/>
      <c r="J194" s="39"/>
      <c r="K194" s="39"/>
      <c r="L194" s="39"/>
      <c r="M194" s="39"/>
      <c r="N194" s="39"/>
      <c r="O194" s="39"/>
    </row>
    <row r="195" spans="1:15" ht="18" customHeight="1">
      <c r="A195" s="951"/>
      <c r="B195" s="950" t="s">
        <v>412</v>
      </c>
      <c r="C195" s="950"/>
      <c r="D195" s="950"/>
      <c r="E195" s="950"/>
      <c r="F195" s="189">
        <v>15327358</v>
      </c>
      <c r="G195" s="344"/>
      <c r="H195" s="503"/>
      <c r="I195" s="514"/>
      <c r="J195" s="39"/>
      <c r="K195" s="39"/>
      <c r="L195" s="39"/>
      <c r="M195" s="39"/>
      <c r="N195" s="39"/>
      <c r="O195" s="39"/>
    </row>
    <row r="196" spans="1:15" ht="18" customHeight="1" thickBot="1">
      <c r="A196" s="952"/>
      <c r="B196" s="950" t="s">
        <v>749</v>
      </c>
      <c r="C196" s="950"/>
      <c r="D196" s="950"/>
      <c r="E196" s="950"/>
      <c r="F196" s="448">
        <v>494000</v>
      </c>
      <c r="G196" s="344"/>
      <c r="H196" s="503"/>
      <c r="I196" s="514"/>
      <c r="J196" s="39"/>
      <c r="K196" s="39"/>
      <c r="L196" s="39"/>
      <c r="M196" s="39"/>
      <c r="N196" s="39"/>
      <c r="O196" s="39"/>
    </row>
    <row r="197" spans="1:15" ht="21" customHeight="1" thickBot="1">
      <c r="A197" s="894" t="s">
        <v>278</v>
      </c>
      <c r="B197" s="894"/>
      <c r="C197" s="894"/>
      <c r="D197" s="894"/>
      <c r="E197" s="894"/>
      <c r="F197" s="211">
        <f>SUM(F182+F185+F184+F180)</f>
        <v>291366603</v>
      </c>
      <c r="G197" s="203">
        <f>SUM(F197-'Kiadások COFOG szerint'!F110)</f>
        <v>0</v>
      </c>
    </row>
    <row r="198" spans="1:15" ht="25.5" customHeight="1" thickBot="1">
      <c r="A198" s="900" t="s">
        <v>413</v>
      </c>
      <c r="B198" s="900"/>
      <c r="C198" s="900"/>
      <c r="D198" s="900"/>
      <c r="E198" s="900"/>
      <c r="F198" s="900"/>
    </row>
    <row r="199" spans="1:15" ht="21.75" customHeight="1">
      <c r="A199" s="885" t="s">
        <v>46</v>
      </c>
      <c r="B199" s="887" t="s">
        <v>47</v>
      </c>
      <c r="C199" s="889">
        <v>2023</v>
      </c>
      <c r="D199" s="889"/>
      <c r="E199" s="889"/>
      <c r="F199" s="889"/>
    </row>
    <row r="200" spans="1:15" ht="23.25" customHeight="1" thickBot="1">
      <c r="A200" s="939"/>
      <c r="B200" s="940"/>
      <c r="C200" s="890"/>
      <c r="D200" s="890"/>
      <c r="E200" s="890"/>
      <c r="F200" s="185" t="s">
        <v>509</v>
      </c>
    </row>
    <row r="201" spans="1:15" ht="15" customHeight="1">
      <c r="A201" s="692" t="s">
        <v>143</v>
      </c>
      <c r="B201" s="275" t="s">
        <v>414</v>
      </c>
      <c r="C201" s="695"/>
      <c r="D201" s="696"/>
      <c r="E201" s="693"/>
      <c r="F201" s="694">
        <f>SUM(F202:F205)</f>
        <v>3037600</v>
      </c>
      <c r="G201" s="347"/>
    </row>
    <row r="202" spans="1:15" ht="15" customHeight="1">
      <c r="A202" s="86"/>
      <c r="B202" s="87" t="s">
        <v>650</v>
      </c>
      <c r="C202" s="188">
        <v>3</v>
      </c>
      <c r="D202" s="188">
        <v>100000</v>
      </c>
      <c r="E202" s="188">
        <v>1</v>
      </c>
      <c r="F202" s="217">
        <f>SUM(C202*D202*E202)</f>
        <v>300000</v>
      </c>
      <c r="G202" s="347"/>
    </row>
    <row r="203" spans="1:15" ht="15" customHeight="1">
      <c r="A203" s="86"/>
      <c r="B203" s="179">
        <v>2023</v>
      </c>
      <c r="C203" s="188">
        <v>2</v>
      </c>
      <c r="D203" s="188">
        <v>116000</v>
      </c>
      <c r="E203" s="188">
        <v>11</v>
      </c>
      <c r="F203" s="217">
        <f>SUM(C203*D203*E203)</f>
        <v>2552000</v>
      </c>
      <c r="G203" s="347"/>
    </row>
    <row r="204" spans="1:15" ht="15" customHeight="1">
      <c r="A204" s="86"/>
      <c r="B204" s="179"/>
      <c r="C204" s="188">
        <v>1</v>
      </c>
      <c r="D204" s="188">
        <v>116000</v>
      </c>
      <c r="E204" s="188">
        <v>1</v>
      </c>
      <c r="F204" s="217">
        <f>SUM(C204*D204*E204)</f>
        <v>116000</v>
      </c>
      <c r="G204" s="347"/>
    </row>
    <row r="205" spans="1:15" ht="15" customHeight="1">
      <c r="A205" s="86"/>
      <c r="B205" s="179"/>
      <c r="C205" s="188"/>
      <c r="D205" s="188"/>
      <c r="E205" s="188"/>
      <c r="F205" s="217">
        <v>69600</v>
      </c>
      <c r="G205" s="347"/>
    </row>
    <row r="206" spans="1:15" ht="15" customHeight="1">
      <c r="A206" s="86" t="s">
        <v>157</v>
      </c>
      <c r="B206" s="275" t="s">
        <v>158</v>
      </c>
      <c r="C206" s="188">
        <f>F201</f>
        <v>3037600</v>
      </c>
      <c r="D206" s="193">
        <v>0.13</v>
      </c>
      <c r="E206" s="322">
        <v>0.5</v>
      </c>
      <c r="F206" s="694">
        <v>200000</v>
      </c>
      <c r="G206" s="222">
        <f>SUM(C206*D206*E206)</f>
        <v>197444</v>
      </c>
    </row>
    <row r="207" spans="1:15" ht="15" customHeight="1">
      <c r="A207" s="114" t="s">
        <v>157</v>
      </c>
      <c r="B207" s="87" t="s">
        <v>338</v>
      </c>
      <c r="C207" s="106"/>
      <c r="D207" s="188"/>
      <c r="E207" s="106"/>
      <c r="F207" s="217"/>
    </row>
    <row r="208" spans="1:15" ht="15" customHeight="1">
      <c r="A208" s="114" t="s">
        <v>169</v>
      </c>
      <c r="B208" s="87" t="s">
        <v>170</v>
      </c>
      <c r="C208" s="106"/>
      <c r="D208" s="198">
        <v>0.27</v>
      </c>
      <c r="E208" s="106"/>
      <c r="F208" s="217">
        <v>0</v>
      </c>
    </row>
    <row r="209" spans="1:7" ht="21.75" customHeight="1">
      <c r="A209" s="114" t="s">
        <v>212</v>
      </c>
      <c r="B209" s="87" t="s">
        <v>270</v>
      </c>
      <c r="C209" s="106"/>
      <c r="D209" s="198">
        <v>0.27</v>
      </c>
      <c r="E209" s="106"/>
      <c r="F209" s="217">
        <v>0</v>
      </c>
    </row>
    <row r="210" spans="1:7" ht="21.75" customHeight="1">
      <c r="A210" s="114" t="s">
        <v>246</v>
      </c>
      <c r="B210" s="87" t="s">
        <v>247</v>
      </c>
      <c r="C210" s="106"/>
      <c r="D210" s="198">
        <v>0.27</v>
      </c>
      <c r="E210" s="106"/>
      <c r="F210" s="217"/>
    </row>
    <row r="211" spans="1:7" ht="22.5" customHeight="1" thickBot="1">
      <c r="A211" s="91" t="s">
        <v>248</v>
      </c>
      <c r="B211" s="92" t="s">
        <v>275</v>
      </c>
      <c r="C211" s="95"/>
      <c r="D211" s="198">
        <v>0.27</v>
      </c>
      <c r="E211" s="95"/>
      <c r="F211" s="219"/>
    </row>
    <row r="212" spans="1:7" ht="20.25" customHeight="1" thickBot="1">
      <c r="A212" s="894" t="s">
        <v>278</v>
      </c>
      <c r="B212" s="894"/>
      <c r="C212" s="894"/>
      <c r="D212" s="894"/>
      <c r="E212" s="894"/>
      <c r="F212" s="211">
        <f>SUM(F201+F206)</f>
        <v>3237600</v>
      </c>
      <c r="G212" s="203">
        <f>SUM(F212-'Kiadások COFOG szerint'!F120)</f>
        <v>0</v>
      </c>
    </row>
    <row r="213" spans="1:7" ht="20.25" hidden="1" customHeight="1" thickBot="1">
      <c r="A213" s="900" t="s">
        <v>415</v>
      </c>
      <c r="B213" s="900"/>
      <c r="C213" s="900"/>
      <c r="D213" s="900"/>
      <c r="E213" s="900"/>
      <c r="F213" s="900"/>
    </row>
    <row r="214" spans="1:7" ht="20.25" hidden="1" customHeight="1">
      <c r="A214" s="939" t="s">
        <v>46</v>
      </c>
      <c r="B214" s="940" t="s">
        <v>47</v>
      </c>
      <c r="C214" s="889">
        <v>2021</v>
      </c>
      <c r="D214" s="889"/>
      <c r="E214" s="889"/>
      <c r="F214" s="889"/>
    </row>
    <row r="215" spans="1:7" ht="20.25" hidden="1" customHeight="1" thickBot="1">
      <c r="A215" s="939"/>
      <c r="B215" s="940"/>
      <c r="C215" s="890"/>
      <c r="D215" s="890"/>
      <c r="E215" s="890"/>
      <c r="F215" s="185" t="s">
        <v>509</v>
      </c>
    </row>
    <row r="216" spans="1:7" ht="20.25" hidden="1" customHeight="1">
      <c r="A216" s="86" t="s">
        <v>143</v>
      </c>
      <c r="B216" s="87" t="s">
        <v>414</v>
      </c>
      <c r="C216" s="188"/>
      <c r="D216" s="188"/>
      <c r="E216" s="188"/>
      <c r="F216" s="217">
        <v>0</v>
      </c>
    </row>
    <row r="217" spans="1:7" ht="20.25" hidden="1" customHeight="1">
      <c r="A217" s="114" t="s">
        <v>149</v>
      </c>
      <c r="B217" s="87" t="s">
        <v>150</v>
      </c>
      <c r="C217" s="188"/>
      <c r="D217" s="188"/>
      <c r="E217" s="188"/>
      <c r="F217" s="217">
        <v>0</v>
      </c>
    </row>
    <row r="218" spans="1:7" ht="20.25" hidden="1" customHeight="1">
      <c r="A218" s="86" t="s">
        <v>157</v>
      </c>
      <c r="B218" s="87" t="s">
        <v>158</v>
      </c>
      <c r="C218" s="188"/>
      <c r="D218" s="193"/>
      <c r="E218" s="322"/>
      <c r="F218" s="217">
        <v>0</v>
      </c>
    </row>
    <row r="219" spans="1:7" ht="20.25" hidden="1" customHeight="1">
      <c r="A219" s="114" t="s">
        <v>157</v>
      </c>
      <c r="B219" s="87" t="s">
        <v>338</v>
      </c>
      <c r="C219" s="106"/>
      <c r="D219" s="188"/>
      <c r="E219" s="106"/>
      <c r="F219" s="217">
        <v>0</v>
      </c>
    </row>
    <row r="220" spans="1:7" ht="20.25" hidden="1" customHeight="1">
      <c r="A220" s="114" t="s">
        <v>169</v>
      </c>
      <c r="B220" s="87" t="s">
        <v>170</v>
      </c>
      <c r="C220" s="106"/>
      <c r="D220" s="198"/>
      <c r="E220" s="106"/>
      <c r="F220" s="217">
        <v>0</v>
      </c>
    </row>
    <row r="221" spans="1:7" ht="20.25" hidden="1" customHeight="1" thickBot="1">
      <c r="A221" s="114" t="s">
        <v>212</v>
      </c>
      <c r="B221" s="87" t="s">
        <v>270</v>
      </c>
      <c r="C221" s="106"/>
      <c r="D221" s="198"/>
      <c r="E221" s="106"/>
      <c r="F221" s="217">
        <v>0</v>
      </c>
    </row>
    <row r="222" spans="1:7" ht="20.25" hidden="1" customHeight="1" thickBot="1">
      <c r="A222" s="894" t="s">
        <v>278</v>
      </c>
      <c r="B222" s="894"/>
      <c r="C222" s="894"/>
      <c r="D222" s="894"/>
      <c r="E222" s="894"/>
      <c r="F222" s="211">
        <f>SUM(F216:F221)</f>
        <v>0</v>
      </c>
    </row>
    <row r="223" spans="1:7" ht="24" customHeight="1" thickBot="1">
      <c r="A223" s="884" t="s">
        <v>284</v>
      </c>
      <c r="B223" s="884"/>
      <c r="C223" s="884"/>
      <c r="D223" s="884"/>
      <c r="E223" s="884"/>
      <c r="F223" s="884"/>
    </row>
    <row r="224" spans="1:7" ht="23.25" customHeight="1">
      <c r="A224" s="939" t="s">
        <v>46</v>
      </c>
      <c r="B224" s="940" t="s">
        <v>47</v>
      </c>
      <c r="C224" s="889">
        <v>2023</v>
      </c>
      <c r="D224" s="889"/>
      <c r="E224" s="889"/>
      <c r="F224" s="889"/>
    </row>
    <row r="225" spans="1:15" ht="25.5" customHeight="1" thickBot="1">
      <c r="A225" s="939"/>
      <c r="B225" s="940"/>
      <c r="C225" s="890"/>
      <c r="D225" s="890"/>
      <c r="E225" s="890"/>
      <c r="F225" s="185" t="s">
        <v>509</v>
      </c>
    </row>
    <row r="226" spans="1:15" ht="15" customHeight="1">
      <c r="A226" s="86" t="s">
        <v>169</v>
      </c>
      <c r="B226" s="880" t="s">
        <v>170</v>
      </c>
      <c r="C226" s="880"/>
      <c r="D226" s="880"/>
      <c r="E226" s="880"/>
      <c r="F226" s="190">
        <v>700000</v>
      </c>
      <c r="H226" s="496">
        <v>0.27</v>
      </c>
      <c r="I226" s="528">
        <f t="shared" ref="I226:I228" si="6">SUM(F226*H226)</f>
        <v>189000</v>
      </c>
    </row>
    <row r="227" spans="1:15" ht="15" customHeight="1">
      <c r="A227" s="941" t="s">
        <v>198</v>
      </c>
      <c r="B227" s="87" t="s">
        <v>581</v>
      </c>
      <c r="C227" s="106"/>
      <c r="D227" s="198">
        <v>0.27</v>
      </c>
      <c r="E227" s="106"/>
      <c r="F227" s="189">
        <v>880000</v>
      </c>
      <c r="H227" s="496">
        <v>0.27</v>
      </c>
      <c r="I227" s="528">
        <f t="shared" si="6"/>
        <v>237600.00000000003</v>
      </c>
    </row>
    <row r="228" spans="1:15" ht="15" customHeight="1">
      <c r="A228" s="942"/>
      <c r="B228" s="87" t="s">
        <v>570</v>
      </c>
      <c r="C228" s="106" t="s">
        <v>572</v>
      </c>
      <c r="D228" s="198">
        <v>0.27</v>
      </c>
      <c r="E228" s="522"/>
      <c r="F228" s="189">
        <v>500000</v>
      </c>
      <c r="H228" s="496">
        <v>0.27</v>
      </c>
      <c r="I228" s="528">
        <f t="shared" si="6"/>
        <v>135000</v>
      </c>
    </row>
    <row r="229" spans="1:15" ht="15" customHeight="1">
      <c r="A229" s="942"/>
      <c r="B229" s="87" t="s">
        <v>571</v>
      </c>
      <c r="C229" s="106">
        <v>150000</v>
      </c>
      <c r="D229" s="198">
        <v>0.27</v>
      </c>
      <c r="E229" s="522">
        <v>3</v>
      </c>
      <c r="F229" s="189">
        <f>SUM(C229*E229)</f>
        <v>450000</v>
      </c>
      <c r="H229" s="496">
        <v>0.27</v>
      </c>
      <c r="I229" s="528">
        <f>SUM(F229*H229)</f>
        <v>121500.00000000001</v>
      </c>
    </row>
    <row r="230" spans="1:15" ht="15" customHeight="1">
      <c r="A230" s="943"/>
      <c r="B230" s="880" t="s">
        <v>339</v>
      </c>
      <c r="C230" s="880"/>
      <c r="D230" s="880"/>
      <c r="E230" s="880"/>
      <c r="F230" s="190">
        <f>SUM(F227:F229)</f>
        <v>1830000</v>
      </c>
      <c r="G230" s="262" t="s">
        <v>371</v>
      </c>
      <c r="H230" s="506"/>
      <c r="I230" s="529"/>
      <c r="J230" s="262"/>
      <c r="K230" s="263">
        <f>SUM('Bevételek COFOG szerint 2023'!F50)</f>
        <v>4539360</v>
      </c>
      <c r="L230" s="264" t="s">
        <v>372</v>
      </c>
    </row>
    <row r="231" spans="1:15" ht="15" customHeight="1">
      <c r="A231" s="86" t="s">
        <v>204</v>
      </c>
      <c r="B231" s="880" t="s">
        <v>205</v>
      </c>
      <c r="C231" s="880"/>
      <c r="D231" s="880"/>
      <c r="E231" s="880"/>
      <c r="F231" s="190">
        <f>SUM(F232:F233)</f>
        <v>3000000</v>
      </c>
      <c r="I231" s="530"/>
    </row>
    <row r="232" spans="1:15" ht="15" customHeight="1">
      <c r="A232" s="86"/>
      <c r="B232" s="87" t="s">
        <v>579</v>
      </c>
      <c r="C232" s="106">
        <v>200000</v>
      </c>
      <c r="D232" s="198">
        <v>0.27</v>
      </c>
      <c r="E232" s="106">
        <v>12</v>
      </c>
      <c r="F232" s="189">
        <f>SUM(C232*E232)</f>
        <v>2400000</v>
      </c>
      <c r="H232" s="496">
        <v>0.27</v>
      </c>
      <c r="I232" s="528">
        <f>SUM(F232*H232)</f>
        <v>648000</v>
      </c>
    </row>
    <row r="233" spans="1:15" ht="15" customHeight="1">
      <c r="A233" s="86"/>
      <c r="B233" s="87" t="s">
        <v>583</v>
      </c>
      <c r="C233" s="106">
        <v>46400</v>
      </c>
      <c r="D233" s="198">
        <v>0.27</v>
      </c>
      <c r="E233" s="106"/>
      <c r="F233" s="189">
        <v>600000</v>
      </c>
      <c r="H233" s="496">
        <v>0.27</v>
      </c>
      <c r="I233" s="528">
        <f>SUM(F233*H233)</f>
        <v>162000</v>
      </c>
    </row>
    <row r="234" spans="1:15" ht="21">
      <c r="A234" s="86" t="s">
        <v>212</v>
      </c>
      <c r="B234" s="87" t="s">
        <v>270</v>
      </c>
      <c r="C234" s="106">
        <f>F230+F226+F231</f>
        <v>5530000</v>
      </c>
      <c r="D234" s="198">
        <v>0.27</v>
      </c>
      <c r="E234" s="106">
        <f>C234*D234</f>
        <v>1493100</v>
      </c>
      <c r="F234" s="190">
        <v>1500000</v>
      </c>
      <c r="I234" s="759">
        <f>SUM(I226:I233)</f>
        <v>1493100</v>
      </c>
    </row>
    <row r="235" spans="1:15" ht="15" customHeight="1">
      <c r="A235" s="840" t="s">
        <v>250</v>
      </c>
      <c r="B235" s="202" t="s">
        <v>251</v>
      </c>
      <c r="C235" s="87"/>
      <c r="D235" s="87"/>
      <c r="E235" s="87"/>
      <c r="F235" s="758">
        <v>0</v>
      </c>
      <c r="I235" s="870"/>
      <c r="J235" s="870"/>
      <c r="L235" s="146"/>
    </row>
    <row r="236" spans="1:15" ht="15" customHeight="1">
      <c r="A236" s="840"/>
      <c r="B236" s="880" t="s">
        <v>340</v>
      </c>
      <c r="C236" s="880"/>
      <c r="D236" s="880"/>
      <c r="E236" s="880"/>
      <c r="F236" s="208">
        <f>SUM(F235)</f>
        <v>0</v>
      </c>
      <c r="H236" s="499"/>
      <c r="I236" s="516"/>
      <c r="J236" s="151"/>
      <c r="L236" s="146"/>
    </row>
    <row r="237" spans="1:15" ht="21">
      <c r="A237" s="102" t="s">
        <v>254</v>
      </c>
      <c r="B237" s="92" t="s">
        <v>276</v>
      </c>
      <c r="C237" s="95">
        <f>F236</f>
        <v>0</v>
      </c>
      <c r="D237" s="207">
        <v>0.27</v>
      </c>
      <c r="E237" s="95"/>
      <c r="F237" s="329">
        <v>0</v>
      </c>
      <c r="H237" s="507"/>
    </row>
    <row r="238" spans="1:15" ht="21" customHeight="1" thickBot="1">
      <c r="A238" s="894" t="s">
        <v>278</v>
      </c>
      <c r="B238" s="894"/>
      <c r="C238" s="894"/>
      <c r="D238" s="894"/>
      <c r="E238" s="894"/>
      <c r="F238" s="211">
        <f>F230+F234+F236+F237+F226+F231</f>
        <v>7030000</v>
      </c>
      <c r="G238" s="203">
        <f>SUM(F238-'Kiadások COFOG szerint'!F140)</f>
        <v>0</v>
      </c>
      <c r="M238" s="39"/>
      <c r="N238" s="39"/>
    </row>
    <row r="239" spans="1:15" ht="30" customHeight="1" thickBot="1">
      <c r="A239" s="900" t="s">
        <v>133</v>
      </c>
      <c r="B239" s="900"/>
      <c r="C239" s="900"/>
      <c r="D239" s="900"/>
      <c r="E239" s="900"/>
      <c r="F239" s="900"/>
    </row>
    <row r="240" spans="1:15" ht="18" customHeight="1">
      <c r="A240" s="885" t="s">
        <v>46</v>
      </c>
      <c r="B240" s="887" t="s">
        <v>47</v>
      </c>
      <c r="C240" s="889">
        <v>2023</v>
      </c>
      <c r="D240" s="889"/>
      <c r="E240" s="889"/>
      <c r="F240" s="889"/>
      <c r="L240" s="39"/>
      <c r="M240" s="39"/>
      <c r="N240" s="39"/>
      <c r="O240" s="39"/>
    </row>
    <row r="241" spans="1:8" ht="24.75" customHeight="1" thickBot="1">
      <c r="A241" s="939"/>
      <c r="B241" s="940"/>
      <c r="C241" s="890"/>
      <c r="D241" s="890"/>
      <c r="E241" s="890"/>
      <c r="F241" s="185" t="s">
        <v>509</v>
      </c>
    </row>
    <row r="242" spans="1:8" ht="12.75" customHeight="1">
      <c r="A242" s="86" t="s">
        <v>192</v>
      </c>
      <c r="B242" s="87" t="s">
        <v>279</v>
      </c>
      <c r="C242" s="106"/>
      <c r="D242" s="106"/>
      <c r="E242" s="106"/>
      <c r="F242" s="220">
        <v>0</v>
      </c>
      <c r="H242" s="499"/>
    </row>
    <row r="243" spans="1:8" ht="12.75" customHeight="1">
      <c r="A243" s="86" t="s">
        <v>198</v>
      </c>
      <c r="B243" s="87" t="s">
        <v>199</v>
      </c>
      <c r="C243" s="106"/>
      <c r="D243" s="106"/>
      <c r="E243" s="106"/>
      <c r="F243" s="220">
        <v>0</v>
      </c>
    </row>
    <row r="244" spans="1:8" ht="15" customHeight="1">
      <c r="A244" s="86" t="s">
        <v>252</v>
      </c>
      <c r="B244" s="87" t="s">
        <v>253</v>
      </c>
      <c r="C244" s="106"/>
      <c r="D244" s="106"/>
      <c r="E244" s="106"/>
      <c r="F244" s="217">
        <v>7000000</v>
      </c>
    </row>
    <row r="245" spans="1:8" ht="22.5" customHeight="1" thickBot="1">
      <c r="A245" s="86" t="s">
        <v>254</v>
      </c>
      <c r="B245" s="87" t="s">
        <v>276</v>
      </c>
      <c r="C245" s="106">
        <f>F244</f>
        <v>7000000</v>
      </c>
      <c r="D245" s="198">
        <v>0.27</v>
      </c>
      <c r="E245" s="106">
        <f>C245*D245</f>
        <v>1890000.0000000002</v>
      </c>
      <c r="F245" s="217">
        <v>1890000</v>
      </c>
    </row>
    <row r="246" spans="1:8" ht="21" customHeight="1" thickBot="1">
      <c r="A246" s="894" t="s">
        <v>278</v>
      </c>
      <c r="B246" s="894"/>
      <c r="C246" s="894"/>
      <c r="D246" s="894"/>
      <c r="E246" s="894"/>
      <c r="F246" s="221">
        <f>SUM(F242:F245)</f>
        <v>8890000</v>
      </c>
      <c r="G246" s="203">
        <f>SUM(F246-'Kiadások COFOG szerint'!F148)</f>
        <v>0</v>
      </c>
    </row>
    <row r="247" spans="1:8" ht="21" customHeight="1" thickBot="1">
      <c r="A247" s="900" t="s">
        <v>500</v>
      </c>
      <c r="B247" s="900"/>
      <c r="C247" s="900"/>
      <c r="D247" s="900"/>
      <c r="E247" s="900"/>
      <c r="F247" s="900"/>
    </row>
    <row r="248" spans="1:8" ht="21" customHeight="1">
      <c r="A248" s="885" t="s">
        <v>46</v>
      </c>
      <c r="B248" s="887" t="s">
        <v>47</v>
      </c>
      <c r="C248" s="889">
        <v>2023</v>
      </c>
      <c r="D248" s="889"/>
      <c r="E248" s="889"/>
      <c r="F248" s="889"/>
    </row>
    <row r="249" spans="1:8" ht="21" customHeight="1" thickBot="1">
      <c r="A249" s="955"/>
      <c r="B249" s="956"/>
      <c r="C249" s="890"/>
      <c r="D249" s="890"/>
      <c r="E249" s="890"/>
      <c r="F249" s="185" t="s">
        <v>509</v>
      </c>
    </row>
    <row r="250" spans="1:8">
      <c r="A250" s="533" t="s">
        <v>503</v>
      </c>
      <c r="B250" s="534" t="s">
        <v>725</v>
      </c>
      <c r="C250" s="535"/>
      <c r="D250" s="536"/>
      <c r="E250" s="535"/>
      <c r="F250" s="537">
        <f>SUM(F251)</f>
        <v>3120000</v>
      </c>
    </row>
    <row r="251" spans="1:8">
      <c r="A251" s="318"/>
      <c r="B251" s="142" t="s">
        <v>726</v>
      </c>
      <c r="C251" s="143"/>
      <c r="D251" s="260"/>
      <c r="E251" s="143"/>
      <c r="F251" s="423">
        <v>3120000</v>
      </c>
    </row>
    <row r="252" spans="1:8">
      <c r="A252" s="533" t="s">
        <v>347</v>
      </c>
      <c r="B252" s="534" t="s">
        <v>628</v>
      </c>
      <c r="C252" s="535"/>
      <c r="D252" s="536"/>
      <c r="E252" s="535"/>
      <c r="F252" s="537">
        <f>SUM(F253)</f>
        <v>405600</v>
      </c>
    </row>
    <row r="253" spans="1:8">
      <c r="A253" s="318"/>
      <c r="B253" s="142" t="s">
        <v>726</v>
      </c>
      <c r="C253" s="143"/>
      <c r="D253" s="260"/>
      <c r="E253" s="143"/>
      <c r="F253" s="423">
        <v>405600</v>
      </c>
    </row>
    <row r="254" spans="1:8">
      <c r="A254" s="533" t="s">
        <v>169</v>
      </c>
      <c r="B254" s="534" t="s">
        <v>727</v>
      </c>
      <c r="C254" s="535"/>
      <c r="D254" s="536"/>
      <c r="E254" s="535"/>
      <c r="F254" s="537">
        <f>SUM(F255)</f>
        <v>874713</v>
      </c>
    </row>
    <row r="255" spans="1:8">
      <c r="A255" s="318"/>
      <c r="B255" s="142" t="s">
        <v>726</v>
      </c>
      <c r="C255" s="143"/>
      <c r="D255" s="260"/>
      <c r="E255" s="143"/>
      <c r="F255" s="423">
        <v>874713</v>
      </c>
    </row>
    <row r="256" spans="1:8">
      <c r="A256" s="533" t="s">
        <v>204</v>
      </c>
      <c r="B256" s="534" t="s">
        <v>205</v>
      </c>
      <c r="C256" s="535"/>
      <c r="D256" s="536"/>
      <c r="E256" s="535"/>
      <c r="F256" s="537"/>
    </row>
    <row r="257" spans="1:9">
      <c r="A257" s="318"/>
      <c r="B257" s="142" t="s">
        <v>728</v>
      </c>
      <c r="C257" s="143"/>
      <c r="D257" s="260"/>
      <c r="E257" s="143"/>
      <c r="F257" s="423"/>
    </row>
    <row r="258" spans="1:9" ht="21">
      <c r="A258" s="533" t="s">
        <v>212</v>
      </c>
      <c r="B258" s="534" t="s">
        <v>729</v>
      </c>
      <c r="C258" s="535"/>
      <c r="D258" s="536"/>
      <c r="E258" s="535"/>
      <c r="F258" s="537">
        <f>SUM(F259:F260)</f>
        <v>236173</v>
      </c>
    </row>
    <row r="259" spans="1:9">
      <c r="A259" s="318"/>
      <c r="B259" s="142" t="s">
        <v>726</v>
      </c>
      <c r="C259" s="143"/>
      <c r="D259" s="260"/>
      <c r="E259" s="143"/>
      <c r="F259" s="423">
        <v>236173</v>
      </c>
    </row>
    <row r="260" spans="1:9">
      <c r="A260" s="318"/>
      <c r="B260" s="142" t="s">
        <v>728</v>
      </c>
      <c r="C260" s="143"/>
      <c r="D260" s="260"/>
      <c r="E260" s="143"/>
      <c r="F260" s="423"/>
    </row>
    <row r="261" spans="1:9">
      <c r="A261" s="533" t="s">
        <v>244</v>
      </c>
      <c r="B261" s="534" t="s">
        <v>730</v>
      </c>
      <c r="C261" s="535"/>
      <c r="D261" s="536"/>
      <c r="E261" s="535"/>
      <c r="F261" s="537">
        <f>SUM(F262)</f>
        <v>382280</v>
      </c>
    </row>
    <row r="262" spans="1:9">
      <c r="A262" s="318"/>
      <c r="B262" s="142" t="s">
        <v>726</v>
      </c>
      <c r="C262" s="143"/>
      <c r="D262" s="260"/>
      <c r="E262" s="143"/>
      <c r="F262" s="423">
        <v>382280</v>
      </c>
    </row>
    <row r="263" spans="1:9">
      <c r="A263" s="533" t="s">
        <v>246</v>
      </c>
      <c r="B263" s="534" t="s">
        <v>731</v>
      </c>
      <c r="C263" s="535"/>
      <c r="D263" s="536"/>
      <c r="E263" s="535"/>
      <c r="F263" s="537">
        <f>SUM(F264)</f>
        <v>88946</v>
      </c>
    </row>
    <row r="264" spans="1:9">
      <c r="A264" s="318"/>
      <c r="B264" s="142" t="s">
        <v>726</v>
      </c>
      <c r="C264" s="143"/>
      <c r="D264" s="260"/>
      <c r="E264" s="143"/>
      <c r="F264" s="423">
        <v>88946</v>
      </c>
    </row>
    <row r="265" spans="1:9" ht="21">
      <c r="A265" s="533" t="s">
        <v>248</v>
      </c>
      <c r="B265" s="534" t="s">
        <v>275</v>
      </c>
      <c r="C265" s="535"/>
      <c r="D265" s="536"/>
      <c r="E265" s="535"/>
      <c r="F265" s="537">
        <f>SUM(F266)</f>
        <v>127232</v>
      </c>
      <c r="H265" s="496">
        <v>0.27</v>
      </c>
      <c r="I265" s="77">
        <f>SUM(F265*H265)</f>
        <v>34352.639999999999</v>
      </c>
    </row>
    <row r="266" spans="1:9">
      <c r="A266" s="318"/>
      <c r="B266" s="142" t="s">
        <v>726</v>
      </c>
      <c r="C266" s="143"/>
      <c r="D266" s="260"/>
      <c r="E266" s="143"/>
      <c r="F266" s="423">
        <v>127232</v>
      </c>
      <c r="H266" s="496">
        <v>0.27</v>
      </c>
      <c r="I266" s="77">
        <f t="shared" ref="I266:I267" si="7">SUM(F266*H266)</f>
        <v>34352.639999999999</v>
      </c>
    </row>
    <row r="267" spans="1:9">
      <c r="A267" s="533" t="s">
        <v>250</v>
      </c>
      <c r="B267" s="534" t="s">
        <v>251</v>
      </c>
      <c r="C267" s="535"/>
      <c r="D267" s="536"/>
      <c r="E267" s="535"/>
      <c r="F267" s="537"/>
      <c r="H267" s="496">
        <v>0.27</v>
      </c>
      <c r="I267" s="77">
        <f t="shared" si="7"/>
        <v>0</v>
      </c>
    </row>
    <row r="268" spans="1:9">
      <c r="A268" s="318"/>
      <c r="B268" s="142" t="s">
        <v>728</v>
      </c>
      <c r="C268" s="143"/>
      <c r="D268" s="260"/>
      <c r="E268" s="143"/>
      <c r="F268" s="423"/>
      <c r="I268" s="77"/>
    </row>
    <row r="269" spans="1:9" ht="21">
      <c r="A269" s="533" t="s">
        <v>254</v>
      </c>
      <c r="B269" s="534" t="s">
        <v>276</v>
      </c>
      <c r="C269" s="535"/>
      <c r="D269" s="536"/>
      <c r="E269" s="535"/>
      <c r="F269" s="537"/>
      <c r="I269" s="77"/>
    </row>
    <row r="270" spans="1:9" ht="13.5" thickBot="1">
      <c r="A270" s="114"/>
      <c r="B270" s="87" t="s">
        <v>732</v>
      </c>
      <c r="C270" s="106"/>
      <c r="D270" s="106"/>
      <c r="E270" s="106"/>
      <c r="F270" s="220"/>
      <c r="I270" s="77">
        <f>SUM(I265:I267)</f>
        <v>68705.279999999999</v>
      </c>
    </row>
    <row r="271" spans="1:9" ht="21" customHeight="1" thickBot="1">
      <c r="A271" s="894" t="s">
        <v>278</v>
      </c>
      <c r="B271" s="894"/>
      <c r="C271" s="894"/>
      <c r="D271" s="894"/>
      <c r="E271" s="894"/>
      <c r="F271" s="221">
        <f>SUM(F250+F252)+F254+F256+F258+F261+F263+F265+F267+F269</f>
        <v>5234944</v>
      </c>
      <c r="G271" s="203">
        <f>SUM(F271-'Kiadások COFOG szerint'!F159)</f>
        <v>0</v>
      </c>
    </row>
    <row r="272" spans="1:9" ht="27" customHeight="1" thickBot="1">
      <c r="A272" s="900" t="s">
        <v>285</v>
      </c>
      <c r="B272" s="900"/>
      <c r="C272" s="900"/>
      <c r="D272" s="900"/>
      <c r="E272" s="900"/>
      <c r="F272" s="900"/>
    </row>
    <row r="273" spans="1:12" ht="21" customHeight="1" thickBot="1">
      <c r="A273" s="885" t="s">
        <v>46</v>
      </c>
      <c r="B273" s="887" t="s">
        <v>47</v>
      </c>
      <c r="C273" s="889">
        <v>2023</v>
      </c>
      <c r="D273" s="889"/>
      <c r="E273" s="889"/>
      <c r="F273" s="889"/>
    </row>
    <row r="274" spans="1:12" ht="24.75" customHeight="1" thickBot="1">
      <c r="A274" s="886"/>
      <c r="B274" s="888"/>
      <c r="C274" s="890"/>
      <c r="D274" s="890"/>
      <c r="E274" s="890"/>
      <c r="F274" s="185" t="s">
        <v>509</v>
      </c>
    </row>
    <row r="275" spans="1:12" ht="19.5" customHeight="1">
      <c r="A275" s="114" t="s">
        <v>169</v>
      </c>
      <c r="B275" s="87" t="s">
        <v>170</v>
      </c>
      <c r="C275" s="327"/>
      <c r="D275" s="207">
        <v>0.27</v>
      </c>
      <c r="E275" s="327"/>
      <c r="F275" s="330">
        <v>600000</v>
      </c>
    </row>
    <row r="276" spans="1:12" ht="18.75" customHeight="1">
      <c r="A276" s="86" t="s">
        <v>188</v>
      </c>
      <c r="B276" s="87" t="s">
        <v>267</v>
      </c>
      <c r="C276" s="106">
        <v>420000</v>
      </c>
      <c r="D276" s="207">
        <v>0.27</v>
      </c>
      <c r="E276" s="106">
        <v>12</v>
      </c>
      <c r="F276" s="259">
        <f>SUM(C276*E276)</f>
        <v>5040000</v>
      </c>
      <c r="G276" s="264" t="s">
        <v>373</v>
      </c>
      <c r="H276" s="508"/>
      <c r="I276" s="518"/>
      <c r="J276" s="264"/>
      <c r="K276" s="263">
        <f>SUM('Bevételek COFOG szerint 2023'!F48+'Bevételek COFOG szerint 2023'!F54)</f>
        <v>9757500</v>
      </c>
      <c r="L276" s="264" t="s">
        <v>372</v>
      </c>
    </row>
    <row r="277" spans="1:12" ht="18.75" customHeight="1">
      <c r="A277" s="91" t="s">
        <v>198</v>
      </c>
      <c r="B277" s="92" t="s">
        <v>339</v>
      </c>
      <c r="C277" s="95"/>
      <c r="D277" s="207">
        <v>0.27</v>
      </c>
      <c r="E277" s="95"/>
      <c r="F277" s="329">
        <v>2100000</v>
      </c>
    </row>
    <row r="278" spans="1:12" ht="26.25" customHeight="1" thickBot="1">
      <c r="A278" s="102" t="s">
        <v>212</v>
      </c>
      <c r="B278" s="92" t="s">
        <v>270</v>
      </c>
      <c r="C278" s="95">
        <f>F276+F277+F275</f>
        <v>7740000</v>
      </c>
      <c r="D278" s="207">
        <v>0.27</v>
      </c>
      <c r="E278" s="95">
        <f>C278*D278</f>
        <v>2089800.0000000002</v>
      </c>
      <c r="F278" s="329">
        <v>2100000</v>
      </c>
    </row>
    <row r="279" spans="1:12" ht="21" customHeight="1" thickBot="1">
      <c r="A279" s="894" t="s">
        <v>278</v>
      </c>
      <c r="B279" s="894"/>
      <c r="C279" s="894"/>
      <c r="D279" s="894"/>
      <c r="E279" s="894"/>
      <c r="F279" s="211">
        <f>SUM(F275+F276+F277+F278)</f>
        <v>9840000</v>
      </c>
      <c r="G279" s="203">
        <f>SUM(F279-'Kiadások COFOG szerint'!F167)</f>
        <v>0</v>
      </c>
    </row>
    <row r="280" spans="1:12" ht="25.5" customHeight="1" thickBot="1">
      <c r="A280" s="900" t="s">
        <v>286</v>
      </c>
      <c r="B280" s="900"/>
      <c r="C280" s="900"/>
      <c r="D280" s="900"/>
      <c r="E280" s="900"/>
      <c r="F280" s="900"/>
    </row>
    <row r="281" spans="1:12" ht="21.75" customHeight="1" thickBot="1">
      <c r="A281" s="885" t="s">
        <v>46</v>
      </c>
      <c r="B281" s="887" t="s">
        <v>47</v>
      </c>
      <c r="C281" s="889">
        <v>2023</v>
      </c>
      <c r="D281" s="889"/>
      <c r="E281" s="889"/>
      <c r="F281" s="889"/>
    </row>
    <row r="282" spans="1:12" ht="27.75" customHeight="1" thickBot="1">
      <c r="A282" s="885"/>
      <c r="B282" s="887"/>
      <c r="C282" s="890"/>
      <c r="D282" s="890"/>
      <c r="E282" s="890"/>
      <c r="F282" s="185" t="s">
        <v>509</v>
      </c>
    </row>
    <row r="283" spans="1:12" ht="15" customHeight="1">
      <c r="A283" s="936" t="s">
        <v>143</v>
      </c>
      <c r="B283" s="933" t="s">
        <v>144</v>
      </c>
      <c r="C283" s="933"/>
      <c r="D283" s="933"/>
      <c r="E283" s="933"/>
      <c r="F283" s="933"/>
    </row>
    <row r="284" spans="1:12" ht="15" customHeight="1">
      <c r="A284" s="937"/>
      <c r="B284" s="195" t="s">
        <v>690</v>
      </c>
      <c r="C284" s="106">
        <v>290000</v>
      </c>
      <c r="D284" s="188">
        <v>1</v>
      </c>
      <c r="E284" s="188" t="s">
        <v>308</v>
      </c>
      <c r="F284" s="189">
        <f>SUM(C284*D284)</f>
        <v>290000</v>
      </c>
    </row>
    <row r="285" spans="1:12" ht="15" customHeight="1">
      <c r="A285" s="937"/>
      <c r="B285" s="195" t="s">
        <v>691</v>
      </c>
      <c r="C285" s="106">
        <v>296400</v>
      </c>
      <c r="D285" s="188">
        <v>11</v>
      </c>
      <c r="E285" s="188" t="s">
        <v>308</v>
      </c>
      <c r="F285" s="189">
        <f>SUM(C285*D285)</f>
        <v>3260400</v>
      </c>
      <c r="G285" s="203">
        <f>SUM(F284:F285)</f>
        <v>3550400</v>
      </c>
    </row>
    <row r="286" spans="1:12" ht="15" customHeight="1">
      <c r="A286" s="938"/>
      <c r="B286" s="906" t="s">
        <v>341</v>
      </c>
      <c r="C286" s="906"/>
      <c r="D286" s="906"/>
      <c r="E286" s="906"/>
      <c r="F286" s="190">
        <v>3600000</v>
      </c>
    </row>
    <row r="287" spans="1:12" ht="15" customHeight="1">
      <c r="A287" s="166" t="s">
        <v>692</v>
      </c>
      <c r="B287" s="275" t="s">
        <v>693</v>
      </c>
      <c r="C287" s="276"/>
      <c r="D287" s="276"/>
      <c r="E287" s="276"/>
      <c r="F287" s="261">
        <v>150000</v>
      </c>
    </row>
    <row r="288" spans="1:12" ht="15" customHeight="1">
      <c r="A288" s="166" t="s">
        <v>423</v>
      </c>
      <c r="B288" s="275" t="s">
        <v>554</v>
      </c>
      <c r="C288" s="276"/>
      <c r="D288" s="276"/>
      <c r="E288" s="276"/>
      <c r="F288" s="261">
        <v>100000</v>
      </c>
    </row>
    <row r="289" spans="1:12" ht="15" customHeight="1">
      <c r="A289" s="87" t="s">
        <v>145</v>
      </c>
      <c r="B289" s="275" t="s">
        <v>146</v>
      </c>
      <c r="C289" s="276"/>
      <c r="D289" s="276"/>
      <c r="E289" s="276"/>
      <c r="F289" s="261"/>
    </row>
    <row r="290" spans="1:12" ht="15" customHeight="1">
      <c r="A290" s="87" t="s">
        <v>147</v>
      </c>
      <c r="B290" s="317" t="s">
        <v>342</v>
      </c>
      <c r="C290" s="192">
        <v>1000</v>
      </c>
      <c r="D290" s="206">
        <v>12</v>
      </c>
      <c r="E290" s="206" t="s">
        <v>308</v>
      </c>
      <c r="F290" s="190"/>
      <c r="J290" s="111"/>
    </row>
    <row r="291" spans="1:12" ht="15" customHeight="1">
      <c r="A291" s="934" t="s">
        <v>149</v>
      </c>
      <c r="B291" s="317" t="s">
        <v>150</v>
      </c>
      <c r="C291" s="192"/>
      <c r="D291" s="206">
        <v>12</v>
      </c>
      <c r="E291" s="206" t="s">
        <v>308</v>
      </c>
      <c r="F291" s="190">
        <f>SUM(F292:F294)</f>
        <v>160000</v>
      </c>
      <c r="J291" s="111"/>
    </row>
    <row r="292" spans="1:12" ht="15" customHeight="1">
      <c r="A292" s="934"/>
      <c r="B292" s="87" t="s">
        <v>694</v>
      </c>
      <c r="C292" s="106">
        <v>4000</v>
      </c>
      <c r="D292" s="188">
        <v>1</v>
      </c>
      <c r="E292" s="188"/>
      <c r="F292" s="189">
        <f>SUM(C292*D292)</f>
        <v>4000</v>
      </c>
      <c r="J292" s="111"/>
    </row>
    <row r="293" spans="1:12" ht="15" customHeight="1">
      <c r="A293" s="934"/>
      <c r="B293" s="87" t="s">
        <v>695</v>
      </c>
      <c r="C293" s="106">
        <v>5000</v>
      </c>
      <c r="D293" s="188">
        <v>11</v>
      </c>
      <c r="E293" s="188"/>
      <c r="F293" s="189">
        <f>SUM(C293*D293)</f>
        <v>55000</v>
      </c>
      <c r="J293" s="111"/>
    </row>
    <row r="294" spans="1:12" ht="15" customHeight="1">
      <c r="A294" s="934"/>
      <c r="B294" s="87" t="s">
        <v>550</v>
      </c>
      <c r="C294" s="106"/>
      <c r="D294" s="188"/>
      <c r="E294" s="188"/>
      <c r="F294" s="189">
        <v>101000</v>
      </c>
      <c r="J294" s="111"/>
    </row>
    <row r="295" spans="1:12" ht="21">
      <c r="A295" s="699" t="s">
        <v>153</v>
      </c>
      <c r="B295" s="317" t="s">
        <v>312</v>
      </c>
      <c r="C295" s="317"/>
      <c r="D295" s="317"/>
      <c r="E295" s="317"/>
      <c r="F295" s="700">
        <f>SUM(F296:F298)</f>
        <v>2707500</v>
      </c>
      <c r="J295" s="111"/>
    </row>
    <row r="296" spans="1:12">
      <c r="A296" s="699"/>
      <c r="B296" s="87" t="s">
        <v>752</v>
      </c>
      <c r="C296" s="87"/>
      <c r="D296" s="87"/>
      <c r="E296" s="87"/>
      <c r="F296" s="189">
        <v>247500</v>
      </c>
      <c r="J296" s="111"/>
    </row>
    <row r="297" spans="1:12">
      <c r="A297" s="699"/>
      <c r="B297" s="87" t="s">
        <v>662</v>
      </c>
      <c r="C297" s="87">
        <v>25000</v>
      </c>
      <c r="D297" s="87">
        <v>12</v>
      </c>
      <c r="E297" s="87"/>
      <c r="F297" s="189">
        <f>SUM(C297*D297)</f>
        <v>300000</v>
      </c>
      <c r="J297" s="111"/>
    </row>
    <row r="298" spans="1:12">
      <c r="A298" s="699"/>
      <c r="B298" s="87" t="s">
        <v>663</v>
      </c>
      <c r="C298" s="87">
        <v>180000</v>
      </c>
      <c r="D298" s="87">
        <v>12</v>
      </c>
      <c r="E298" s="87"/>
      <c r="F298" s="189">
        <f>SUM(C298*D298)</f>
        <v>2160000</v>
      </c>
      <c r="J298" s="111"/>
    </row>
    <row r="299" spans="1:12" ht="15" customHeight="1">
      <c r="A299" s="935" t="s">
        <v>157</v>
      </c>
      <c r="B299" s="317" t="s">
        <v>628</v>
      </c>
      <c r="C299" s="216"/>
      <c r="D299" s="216"/>
      <c r="E299" s="223">
        <f>C300*D299</f>
        <v>0</v>
      </c>
      <c r="F299" s="190">
        <v>900000</v>
      </c>
      <c r="J299" s="111"/>
      <c r="K299" s="146"/>
      <c r="L299" s="111"/>
    </row>
    <row r="300" spans="1:12" ht="15" customHeight="1">
      <c r="A300" s="935"/>
      <c r="B300" s="87" t="s">
        <v>635</v>
      </c>
      <c r="C300" s="106">
        <f>SUM(F286+F288+F290+F291+F295+F287)</f>
        <v>6717500</v>
      </c>
      <c r="D300" s="193">
        <v>0.13</v>
      </c>
      <c r="E300" s="678"/>
      <c r="F300" s="189">
        <f>SUM(C300*D300)</f>
        <v>873275</v>
      </c>
      <c r="J300" s="111"/>
      <c r="K300" s="146"/>
      <c r="L300" s="111"/>
    </row>
    <row r="301" spans="1:12" ht="15" customHeight="1">
      <c r="A301" s="935"/>
      <c r="B301" s="87" t="s">
        <v>620</v>
      </c>
      <c r="C301" s="106">
        <f>SUM(F288)</f>
        <v>100000</v>
      </c>
      <c r="D301" s="193">
        <v>0.15</v>
      </c>
      <c r="E301" s="678"/>
      <c r="F301" s="189">
        <f>SUM(C301*D301)</f>
        <v>15000</v>
      </c>
      <c r="J301" s="111"/>
      <c r="K301" s="146"/>
      <c r="L301" s="111"/>
    </row>
    <row r="302" spans="1:12" ht="15" customHeight="1">
      <c r="A302" s="179" t="s">
        <v>163</v>
      </c>
      <c r="B302" s="317" t="s">
        <v>162</v>
      </c>
      <c r="C302" s="192"/>
      <c r="D302" s="197"/>
      <c r="E302" s="192"/>
      <c r="F302" s="190">
        <v>0</v>
      </c>
      <c r="G302" s="203"/>
    </row>
    <row r="303" spans="1:12" ht="15" customHeight="1">
      <c r="A303" s="935" t="s">
        <v>169</v>
      </c>
      <c r="B303" s="317" t="s">
        <v>170</v>
      </c>
      <c r="C303" s="192"/>
      <c r="D303" s="197"/>
      <c r="E303" s="192"/>
      <c r="F303" s="190">
        <f>SUM(F304:F308)</f>
        <v>2500000</v>
      </c>
    </row>
    <row r="304" spans="1:12" ht="15" customHeight="1">
      <c r="A304" s="935"/>
      <c r="B304" s="87" t="s">
        <v>585</v>
      </c>
      <c r="C304" s="106"/>
      <c r="D304" s="198">
        <v>0.27</v>
      </c>
      <c r="E304" s="106"/>
      <c r="F304" s="189">
        <v>1000000</v>
      </c>
      <c r="I304" s="77">
        <f>SUM(F304*D304)</f>
        <v>270000</v>
      </c>
    </row>
    <row r="305" spans="1:9" ht="15" customHeight="1">
      <c r="A305" s="935"/>
      <c r="B305" s="87" t="s">
        <v>586</v>
      </c>
      <c r="C305" s="106"/>
      <c r="D305" s="198">
        <v>0.27</v>
      </c>
      <c r="E305" s="106"/>
      <c r="F305" s="189">
        <v>240000</v>
      </c>
      <c r="I305" s="77">
        <f t="shared" ref="I305:I325" si="8">SUM(F305*D305)</f>
        <v>64800.000000000007</v>
      </c>
    </row>
    <row r="306" spans="1:9" ht="15" customHeight="1">
      <c r="A306" s="935"/>
      <c r="B306" s="87" t="s">
        <v>636</v>
      </c>
      <c r="C306" s="106"/>
      <c r="D306" s="198">
        <v>0.27</v>
      </c>
      <c r="E306" s="106"/>
      <c r="F306" s="189">
        <v>200000</v>
      </c>
      <c r="I306" s="77">
        <f t="shared" si="8"/>
        <v>54000</v>
      </c>
    </row>
    <row r="307" spans="1:9" ht="15" customHeight="1">
      <c r="A307" s="935"/>
      <c r="B307" s="87" t="s">
        <v>318</v>
      </c>
      <c r="C307" s="106"/>
      <c r="D307" s="198">
        <v>0.27</v>
      </c>
      <c r="E307" s="106"/>
      <c r="F307" s="189">
        <v>60000</v>
      </c>
      <c r="I307" s="77">
        <f t="shared" si="8"/>
        <v>16200.000000000002</v>
      </c>
    </row>
    <row r="308" spans="1:9" ht="15" customHeight="1">
      <c r="A308" s="935"/>
      <c r="B308" s="87" t="s">
        <v>343</v>
      </c>
      <c r="C308" s="106"/>
      <c r="D308" s="198">
        <v>0.27</v>
      </c>
      <c r="E308" s="106"/>
      <c r="F308" s="189">
        <v>1000000</v>
      </c>
      <c r="G308" s="203"/>
      <c r="I308" s="77">
        <f t="shared" si="8"/>
        <v>270000</v>
      </c>
    </row>
    <row r="309" spans="1:9" ht="15" customHeight="1">
      <c r="A309" s="934" t="s">
        <v>425</v>
      </c>
      <c r="B309" s="683" t="s">
        <v>320</v>
      </c>
      <c r="C309" s="684"/>
      <c r="D309" s="684"/>
      <c r="E309" s="684"/>
      <c r="F309" s="718">
        <f>SUM(F310)</f>
        <v>165600</v>
      </c>
      <c r="G309" s="203"/>
      <c r="I309" s="77"/>
    </row>
    <row r="310" spans="1:9" ht="15" customHeight="1">
      <c r="A310" s="934"/>
      <c r="B310" s="202" t="s">
        <v>590</v>
      </c>
      <c r="C310" s="106">
        <v>13800</v>
      </c>
      <c r="D310" s="198">
        <v>0.05</v>
      </c>
      <c r="E310" s="87">
        <v>12</v>
      </c>
      <c r="F310" s="682">
        <f>SUM(C310*E310)</f>
        <v>165600</v>
      </c>
      <c r="G310" s="203"/>
      <c r="I310" s="77">
        <f t="shared" si="8"/>
        <v>8280</v>
      </c>
    </row>
    <row r="311" spans="1:9" ht="15" customHeight="1">
      <c r="A311" s="934" t="s">
        <v>186</v>
      </c>
      <c r="B311" s="683" t="s">
        <v>287</v>
      </c>
      <c r="C311" s="684"/>
      <c r="D311" s="684"/>
      <c r="E311" s="684"/>
      <c r="F311" s="718">
        <f>SUM(F312:F314)</f>
        <v>1030000</v>
      </c>
      <c r="G311" s="203"/>
      <c r="I311" s="77"/>
    </row>
    <row r="312" spans="1:9" ht="15" customHeight="1">
      <c r="A312" s="934"/>
      <c r="B312" s="686" t="s">
        <v>267</v>
      </c>
      <c r="C312" s="106"/>
      <c r="D312" s="198">
        <v>0.27</v>
      </c>
      <c r="E312" s="106"/>
      <c r="F312" s="189">
        <v>500000</v>
      </c>
      <c r="G312" s="203"/>
      <c r="I312" s="77">
        <f t="shared" si="8"/>
        <v>135000</v>
      </c>
    </row>
    <row r="313" spans="1:9" ht="15" customHeight="1">
      <c r="A313" s="934"/>
      <c r="B313" s="686" t="s">
        <v>268</v>
      </c>
      <c r="C313" s="106"/>
      <c r="D313" s="198">
        <v>0.27</v>
      </c>
      <c r="E313" s="106"/>
      <c r="F313" s="189">
        <v>500000</v>
      </c>
      <c r="G313" s="203"/>
      <c r="I313" s="77">
        <f t="shared" si="8"/>
        <v>135000</v>
      </c>
    </row>
    <row r="314" spans="1:9" ht="15" customHeight="1">
      <c r="A314" s="934"/>
      <c r="B314" s="686" t="s">
        <v>279</v>
      </c>
      <c r="C314" s="106"/>
      <c r="D314" s="198">
        <v>0.27</v>
      </c>
      <c r="E314" s="106"/>
      <c r="F314" s="189">
        <v>30000</v>
      </c>
      <c r="G314" s="203"/>
      <c r="I314" s="77">
        <f t="shared" si="8"/>
        <v>8100.0000000000009</v>
      </c>
    </row>
    <row r="315" spans="1:9" ht="15" customHeight="1">
      <c r="A315" s="87" t="s">
        <v>196</v>
      </c>
      <c r="B315" s="317" t="s">
        <v>197</v>
      </c>
      <c r="C315" s="192"/>
      <c r="D315" s="197">
        <v>0.27</v>
      </c>
      <c r="E315" s="192"/>
      <c r="F315" s="190">
        <v>0</v>
      </c>
      <c r="G315" s="203"/>
      <c r="I315" s="77">
        <f t="shared" si="8"/>
        <v>0</v>
      </c>
    </row>
    <row r="316" spans="1:9" ht="15" customHeight="1">
      <c r="A316" s="86" t="s">
        <v>198</v>
      </c>
      <c r="B316" s="683" t="s">
        <v>199</v>
      </c>
      <c r="C316" s="684"/>
      <c r="D316" s="684"/>
      <c r="E316" s="684"/>
      <c r="F316" s="685">
        <f>SUM(F317:F318)</f>
        <v>650000</v>
      </c>
      <c r="G316" s="203"/>
      <c r="I316" s="77">
        <f t="shared" si="8"/>
        <v>0</v>
      </c>
    </row>
    <row r="317" spans="1:9" ht="15" customHeight="1">
      <c r="A317" s="102"/>
      <c r="B317" s="87" t="s">
        <v>589</v>
      </c>
      <c r="C317" s="106"/>
      <c r="D317" s="198">
        <v>0.27</v>
      </c>
      <c r="E317" s="106"/>
      <c r="F317" s="189">
        <v>350000</v>
      </c>
      <c r="G317" s="203"/>
      <c r="I317" s="77">
        <f t="shared" si="8"/>
        <v>94500</v>
      </c>
    </row>
    <row r="318" spans="1:9" ht="15" customHeight="1">
      <c r="A318" s="102"/>
      <c r="B318" s="87" t="s">
        <v>344</v>
      </c>
      <c r="C318" s="106"/>
      <c r="D318" s="198">
        <v>0.27</v>
      </c>
      <c r="E318" s="106"/>
      <c r="F318" s="189">
        <v>300000</v>
      </c>
      <c r="G318" s="203"/>
      <c r="H318" s="499"/>
      <c r="I318" s="77">
        <f t="shared" si="8"/>
        <v>81000</v>
      </c>
    </row>
    <row r="319" spans="1:9" ht="15" customHeight="1">
      <c r="A319" s="102" t="s">
        <v>202</v>
      </c>
      <c r="B319" s="679" t="s">
        <v>203</v>
      </c>
      <c r="C319" s="680"/>
      <c r="D319" s="680"/>
      <c r="E319" s="680"/>
      <c r="F319" s="681">
        <v>15000</v>
      </c>
      <c r="G319" s="203"/>
      <c r="I319" s="77">
        <f t="shared" si="8"/>
        <v>0</v>
      </c>
    </row>
    <row r="320" spans="1:9" ht="15" customHeight="1">
      <c r="A320" s="102" t="s">
        <v>204</v>
      </c>
      <c r="B320" s="683" t="s">
        <v>205</v>
      </c>
      <c r="C320" s="684"/>
      <c r="D320" s="684"/>
      <c r="E320" s="684"/>
      <c r="F320" s="685">
        <f>SUM(F321:F324)</f>
        <v>1700000</v>
      </c>
      <c r="G320" s="203"/>
      <c r="I320" s="77">
        <f t="shared" si="8"/>
        <v>0</v>
      </c>
    </row>
    <row r="321" spans="1:11" ht="15" customHeight="1">
      <c r="A321" s="191"/>
      <c r="B321" s="195" t="s">
        <v>637</v>
      </c>
      <c r="C321" s="106">
        <v>25300</v>
      </c>
      <c r="D321" s="198">
        <v>0.27</v>
      </c>
      <c r="E321" s="106">
        <v>12</v>
      </c>
      <c r="F321" s="189">
        <f>SUM(C321*E321)</f>
        <v>303600</v>
      </c>
      <c r="G321" s="538"/>
      <c r="I321" s="77">
        <f t="shared" si="8"/>
        <v>81972</v>
      </c>
    </row>
    <row r="322" spans="1:11" ht="15" customHeight="1">
      <c r="A322" s="191"/>
      <c r="B322" s="195" t="s">
        <v>638</v>
      </c>
      <c r="C322" s="106"/>
      <c r="D322" s="198">
        <v>0.27</v>
      </c>
      <c r="E322" s="106"/>
      <c r="F322" s="189">
        <v>150000</v>
      </c>
      <c r="G322" s="538"/>
      <c r="I322" s="77">
        <f t="shared" si="8"/>
        <v>40500</v>
      </c>
    </row>
    <row r="323" spans="1:11" ht="15" customHeight="1">
      <c r="A323" s="191"/>
      <c r="B323" s="195" t="s">
        <v>207</v>
      </c>
      <c r="C323" s="106"/>
      <c r="D323" s="198"/>
      <c r="E323" s="106"/>
      <c r="F323" s="189">
        <v>1200000</v>
      </c>
      <c r="G323" s="538"/>
      <c r="I323" s="77"/>
    </row>
    <row r="324" spans="1:11" ht="15" customHeight="1">
      <c r="A324" s="191"/>
      <c r="B324" s="195" t="s">
        <v>209</v>
      </c>
      <c r="C324" s="106"/>
      <c r="D324" s="198">
        <v>0.27</v>
      </c>
      <c r="E324" s="106"/>
      <c r="F324" s="189">
        <v>46400</v>
      </c>
      <c r="G324" s="203"/>
      <c r="I324" s="77">
        <f t="shared" si="8"/>
        <v>12528</v>
      </c>
    </row>
    <row r="325" spans="1:11" ht="15" customHeight="1">
      <c r="A325" s="86" t="s">
        <v>210</v>
      </c>
      <c r="B325" s="679" t="s">
        <v>211</v>
      </c>
      <c r="C325" s="680"/>
      <c r="D325" s="680"/>
      <c r="E325" s="680"/>
      <c r="F325" s="681">
        <v>0</v>
      </c>
      <c r="G325" s="203"/>
      <c r="I325" s="77">
        <f t="shared" si="8"/>
        <v>0</v>
      </c>
    </row>
    <row r="326" spans="1:11" ht="21.75" customHeight="1">
      <c r="A326" s="102" t="s">
        <v>212</v>
      </c>
      <c r="B326" s="317" t="s">
        <v>270</v>
      </c>
      <c r="C326" s="192"/>
      <c r="D326" s="197">
        <v>0.27</v>
      </c>
      <c r="E326" s="192"/>
      <c r="F326" s="190">
        <v>1300000</v>
      </c>
      <c r="G326" s="212"/>
      <c r="I326" s="77">
        <f>SUM(I304:I325)</f>
        <v>1271880</v>
      </c>
      <c r="J326" s="111"/>
    </row>
    <row r="327" spans="1:11" ht="15" customHeight="1">
      <c r="A327" s="91" t="s">
        <v>216</v>
      </c>
      <c r="B327" s="274" t="s">
        <v>418</v>
      </c>
      <c r="C327" s="312"/>
      <c r="D327" s="338"/>
      <c r="E327" s="312"/>
      <c r="F327" s="190">
        <v>0</v>
      </c>
      <c r="G327" s="212"/>
      <c r="J327" s="111"/>
    </row>
    <row r="328" spans="1:11" ht="15" customHeight="1">
      <c r="A328" s="91" t="s">
        <v>218</v>
      </c>
      <c r="B328" s="274" t="s">
        <v>219</v>
      </c>
      <c r="C328" s="312"/>
      <c r="D328" s="338"/>
      <c r="E328" s="312"/>
      <c r="F328" s="190">
        <v>500000</v>
      </c>
      <c r="G328" s="212"/>
      <c r="J328" s="111"/>
    </row>
    <row r="329" spans="1:11" ht="17.25" customHeight="1">
      <c r="A329" s="102" t="s">
        <v>246</v>
      </c>
      <c r="B329" s="881" t="s">
        <v>247</v>
      </c>
      <c r="C329" s="881"/>
      <c r="D329" s="881"/>
      <c r="E329" s="881"/>
      <c r="F329" s="881"/>
      <c r="G329" s="335" t="s">
        <v>417</v>
      </c>
      <c r="H329" s="504"/>
      <c r="I329" s="515"/>
      <c r="J329" s="336"/>
      <c r="K329" s="337">
        <f>SUM('Bevételek COFOG szerint 2023'!F47)</f>
        <v>4446000</v>
      </c>
    </row>
    <row r="330" spans="1:11" ht="17.25" customHeight="1">
      <c r="A330" s="191"/>
      <c r="B330" s="737" t="s">
        <v>724</v>
      </c>
      <c r="C330" s="738"/>
      <c r="D330" s="738"/>
      <c r="E330" s="738"/>
      <c r="F330" s="181">
        <v>1973090</v>
      </c>
      <c r="G330" s="335"/>
      <c r="H330" s="504"/>
      <c r="I330" s="515"/>
      <c r="J330" s="336"/>
      <c r="K330" s="337"/>
    </row>
    <row r="331" spans="1:11" ht="17.25" customHeight="1">
      <c r="A331" s="191"/>
      <c r="B331" s="737" t="s">
        <v>736</v>
      </c>
      <c r="C331" s="738"/>
      <c r="D331" s="738"/>
      <c r="E331" s="738"/>
      <c r="F331" s="181">
        <v>4044000</v>
      </c>
      <c r="G331" s="335"/>
      <c r="H331" s="504"/>
      <c r="I331" s="515"/>
      <c r="J331" s="336"/>
      <c r="K331" s="337"/>
    </row>
    <row r="332" spans="1:11" ht="17.25" customHeight="1">
      <c r="A332" s="191"/>
      <c r="B332" s="150" t="s">
        <v>711</v>
      </c>
      <c r="C332" s="95"/>
      <c r="D332" s="95"/>
      <c r="E332" s="95"/>
      <c r="F332" s="181">
        <v>200000</v>
      </c>
      <c r="J332" s="111"/>
    </row>
    <row r="333" spans="1:11" ht="16.5" customHeight="1">
      <c r="A333" s="141"/>
      <c r="B333" s="880" t="s">
        <v>345</v>
      </c>
      <c r="C333" s="880"/>
      <c r="D333" s="880"/>
      <c r="E333" s="880"/>
      <c r="F333" s="208">
        <f>SUM(F330:F332)</f>
        <v>6217090</v>
      </c>
      <c r="H333" s="499"/>
    </row>
    <row r="334" spans="1:11" ht="26.25" customHeight="1">
      <c r="A334" s="191" t="s">
        <v>248</v>
      </c>
      <c r="B334" s="319" t="s">
        <v>275</v>
      </c>
      <c r="C334" s="320">
        <f>F333</f>
        <v>6217090</v>
      </c>
      <c r="D334" s="210">
        <v>0.27</v>
      </c>
      <c r="E334" s="320">
        <f>C334*D334</f>
        <v>1678614.3</v>
      </c>
      <c r="F334" s="208">
        <f>SUM(F335:F337)</f>
        <v>1672790</v>
      </c>
      <c r="H334" s="509"/>
      <c r="J334" s="111"/>
    </row>
    <row r="335" spans="1:11">
      <c r="A335" s="191"/>
      <c r="B335" s="92" t="s">
        <v>737</v>
      </c>
      <c r="C335" s="95"/>
      <c r="D335" s="207"/>
      <c r="E335" s="95"/>
      <c r="F335" s="329">
        <v>526910</v>
      </c>
      <c r="H335" s="509"/>
      <c r="J335" s="111"/>
    </row>
    <row r="336" spans="1:11">
      <c r="A336" s="191"/>
      <c r="B336" s="92" t="s">
        <v>738</v>
      </c>
      <c r="C336" s="95"/>
      <c r="D336" s="207"/>
      <c r="E336" s="95"/>
      <c r="F336" s="329">
        <v>1091880</v>
      </c>
      <c r="H336" s="509"/>
      <c r="J336" s="111"/>
    </row>
    <row r="337" spans="1:15">
      <c r="A337" s="191"/>
      <c r="B337" s="92" t="s">
        <v>739</v>
      </c>
      <c r="C337" s="95"/>
      <c r="D337" s="207"/>
      <c r="E337" s="95"/>
      <c r="F337" s="329">
        <v>54000</v>
      </c>
      <c r="H337" s="509"/>
      <c r="J337" s="111"/>
    </row>
    <row r="338" spans="1:15" ht="26.25" customHeight="1">
      <c r="A338" s="541" t="s">
        <v>296</v>
      </c>
      <c r="B338" s="319" t="s">
        <v>416</v>
      </c>
      <c r="C338" s="320"/>
      <c r="D338" s="210">
        <v>0.27</v>
      </c>
      <c r="E338" s="320"/>
      <c r="F338" s="208">
        <f>SUM(F339:F340)</f>
        <v>135011005</v>
      </c>
      <c r="H338" s="509"/>
      <c r="J338" s="111"/>
      <c r="K338" s="204"/>
      <c r="L338" s="204"/>
      <c r="M338" s="204"/>
      <c r="N338" s="129"/>
      <c r="O338" s="129"/>
    </row>
    <row r="339" spans="1:15">
      <c r="A339" s="740"/>
      <c r="B339" s="741" t="s">
        <v>734</v>
      </c>
      <c r="C339" s="742"/>
      <c r="D339" s="542"/>
      <c r="E339" s="742"/>
      <c r="F339" s="743">
        <v>45094535</v>
      </c>
      <c r="H339" s="509"/>
      <c r="J339" s="111"/>
      <c r="K339" s="204"/>
      <c r="L339" s="204"/>
      <c r="M339" s="204"/>
      <c r="N339" s="129"/>
      <c r="O339" s="129"/>
    </row>
    <row r="340" spans="1:15">
      <c r="A340" s="740"/>
      <c r="B340" s="741" t="s">
        <v>735</v>
      </c>
      <c r="C340" s="742"/>
      <c r="D340" s="542"/>
      <c r="E340" s="742"/>
      <c r="F340" s="743">
        <v>89916470</v>
      </c>
      <c r="H340" s="509"/>
      <c r="J340" s="111"/>
      <c r="K340" s="204"/>
      <c r="L340" s="204"/>
      <c r="M340" s="204"/>
      <c r="N340" s="129"/>
      <c r="O340" s="129"/>
    </row>
    <row r="341" spans="1:15" ht="26.25" customHeight="1">
      <c r="A341" s="91" t="s">
        <v>297</v>
      </c>
      <c r="B341" s="319" t="s">
        <v>276</v>
      </c>
      <c r="C341" s="320">
        <f>F338</f>
        <v>135011005</v>
      </c>
      <c r="D341" s="210">
        <v>0.27</v>
      </c>
      <c r="E341" s="320"/>
      <c r="F341" s="208">
        <f>SUM(F342:F343)</f>
        <v>35993543</v>
      </c>
      <c r="H341" s="509"/>
      <c r="J341" s="111"/>
      <c r="K341" s="204"/>
      <c r="L341" s="204"/>
      <c r="M341" s="204"/>
      <c r="N341" s="129"/>
      <c r="O341" s="129"/>
    </row>
    <row r="342" spans="1:15">
      <c r="A342" s="91"/>
      <c r="B342" s="92" t="s">
        <v>740</v>
      </c>
      <c r="C342" s="95"/>
      <c r="D342" s="207"/>
      <c r="E342" s="95"/>
      <c r="F342" s="329">
        <v>12175524</v>
      </c>
      <c r="H342" s="509"/>
      <c r="J342" s="111"/>
      <c r="K342" s="204"/>
      <c r="L342" s="204"/>
      <c r="M342" s="204"/>
      <c r="N342" s="129"/>
      <c r="O342" s="129"/>
    </row>
    <row r="343" spans="1:15">
      <c r="A343" s="91"/>
      <c r="B343" s="92" t="s">
        <v>741</v>
      </c>
      <c r="C343" s="95"/>
      <c r="D343" s="207"/>
      <c r="E343" s="95"/>
      <c r="F343" s="329">
        <v>23818019</v>
      </c>
      <c r="H343" s="509"/>
      <c r="J343" s="111"/>
      <c r="K343" s="204"/>
      <c r="L343" s="204"/>
      <c r="M343" s="204"/>
      <c r="N343" s="129"/>
      <c r="O343" s="129"/>
    </row>
    <row r="344" spans="1:15" ht="33.75" customHeight="1" thickBot="1">
      <c r="A344" s="104" t="s">
        <v>419</v>
      </c>
      <c r="B344" s="224" t="s">
        <v>420</v>
      </c>
      <c r="C344" s="225"/>
      <c r="D344" s="226"/>
      <c r="E344" s="225"/>
      <c r="F344" s="227">
        <v>0</v>
      </c>
      <c r="H344" s="509"/>
      <c r="J344" s="111"/>
      <c r="K344" s="204"/>
      <c r="L344" s="204"/>
      <c r="M344" s="204"/>
      <c r="N344" s="129"/>
      <c r="O344" s="129"/>
    </row>
    <row r="345" spans="1:15" ht="23.25" customHeight="1" thickBot="1">
      <c r="A345" s="932" t="s">
        <v>278</v>
      </c>
      <c r="B345" s="932"/>
      <c r="C345" s="932"/>
      <c r="D345" s="932"/>
      <c r="E345" s="932"/>
      <c r="F345" s="339">
        <f>F286+F287+F288+F289+F290+F291+F299+F302+F303+F309+F311+F315+F316+F319+F320+F325+F326+F327+F333+F334+F341+F344+F295+F338+F328</f>
        <v>194372528</v>
      </c>
      <c r="G345" s="203">
        <f>SUM(F345-'Kiadások COFOG szerint'!F195)</f>
        <v>0</v>
      </c>
      <c r="K345" s="204"/>
      <c r="L345" s="204"/>
      <c r="M345" s="204"/>
      <c r="N345" s="129"/>
      <c r="O345" s="129"/>
    </row>
    <row r="346" spans="1:15" ht="24" customHeight="1" thickBot="1">
      <c r="A346" s="900" t="s">
        <v>134</v>
      </c>
      <c r="B346" s="900"/>
      <c r="C346" s="900"/>
      <c r="D346" s="900"/>
      <c r="E346" s="900"/>
      <c r="F346" s="900"/>
      <c r="K346" s="204"/>
      <c r="L346" s="204"/>
      <c r="M346" s="204"/>
      <c r="N346" s="129"/>
      <c r="O346" s="129"/>
    </row>
    <row r="347" spans="1:15" ht="23.25" customHeight="1" thickBot="1">
      <c r="A347" s="885" t="s">
        <v>46</v>
      </c>
      <c r="B347" s="887" t="s">
        <v>47</v>
      </c>
      <c r="C347" s="889">
        <v>2023</v>
      </c>
      <c r="D347" s="889"/>
      <c r="E347" s="889"/>
      <c r="F347" s="889"/>
      <c r="G347" s="347" t="s">
        <v>678</v>
      </c>
      <c r="K347" s="204"/>
      <c r="L347" s="204"/>
      <c r="M347" s="204"/>
      <c r="N347" s="129"/>
      <c r="O347" s="129"/>
    </row>
    <row r="348" spans="1:15" ht="25.5" customHeight="1" thickBot="1">
      <c r="A348" s="885"/>
      <c r="B348" s="887"/>
      <c r="C348" s="924"/>
      <c r="D348" s="924"/>
      <c r="E348" s="924"/>
      <c r="F348" s="677" t="s">
        <v>509</v>
      </c>
      <c r="H348" s="496" t="s">
        <v>548</v>
      </c>
      <c r="J348" s="119">
        <f>SUM('Bevételek COFOG szerint 2023'!F124)</f>
        <v>4884000</v>
      </c>
      <c r="K348" s="204"/>
      <c r="L348" s="204"/>
      <c r="M348" s="204"/>
      <c r="N348" s="129"/>
      <c r="O348" s="129"/>
    </row>
    <row r="349" spans="1:15" ht="15" customHeight="1">
      <c r="A349" s="753" t="s">
        <v>141</v>
      </c>
      <c r="B349" s="620" t="s">
        <v>142</v>
      </c>
      <c r="C349" s="761"/>
      <c r="D349" s="381"/>
      <c r="E349" s="381"/>
      <c r="F349" s="762"/>
    </row>
    <row r="350" spans="1:15" ht="15" customHeight="1">
      <c r="A350" s="191"/>
      <c r="B350" s="195" t="s">
        <v>696</v>
      </c>
      <c r="C350" s="106">
        <v>630000</v>
      </c>
      <c r="D350" s="188">
        <v>7</v>
      </c>
      <c r="E350" s="188" t="s">
        <v>308</v>
      </c>
      <c r="F350" s="228">
        <f>SUM(C350*D350)</f>
        <v>4410000</v>
      </c>
    </row>
    <row r="351" spans="1:15" ht="15" customHeight="1">
      <c r="A351" s="86"/>
      <c r="B351" s="906" t="s">
        <v>346</v>
      </c>
      <c r="C351" s="906"/>
      <c r="D351" s="906"/>
      <c r="E351" s="906"/>
      <c r="F351" s="190">
        <f>SUM(F350)</f>
        <v>4410000</v>
      </c>
    </row>
    <row r="352" spans="1:15" ht="15" customHeight="1">
      <c r="A352" s="318" t="s">
        <v>692</v>
      </c>
      <c r="B352" s="906" t="s">
        <v>697</v>
      </c>
      <c r="C352" s="906"/>
      <c r="D352" s="906"/>
      <c r="E352" s="906"/>
      <c r="F352" s="190">
        <f>SUM(F353:F354)</f>
        <v>250000</v>
      </c>
    </row>
    <row r="353" spans="1:11" ht="15" customHeight="1">
      <c r="A353" s="318"/>
      <c r="B353" s="87" t="s">
        <v>698</v>
      </c>
      <c r="C353" s="106"/>
      <c r="D353" s="188"/>
      <c r="E353" s="188"/>
      <c r="F353" s="189">
        <v>200000</v>
      </c>
    </row>
    <row r="354" spans="1:11" ht="15" customHeight="1">
      <c r="A354" s="318"/>
      <c r="B354" s="87" t="s">
        <v>664</v>
      </c>
      <c r="C354" s="106"/>
      <c r="D354" s="188"/>
      <c r="E354" s="188"/>
      <c r="F354" s="189">
        <v>50000</v>
      </c>
    </row>
    <row r="355" spans="1:11" ht="15" customHeight="1">
      <c r="A355" s="318" t="s">
        <v>421</v>
      </c>
      <c r="B355" s="906" t="s">
        <v>422</v>
      </c>
      <c r="C355" s="906"/>
      <c r="D355" s="906"/>
      <c r="E355" s="906"/>
      <c r="F355" s="190">
        <v>100000</v>
      </c>
    </row>
    <row r="356" spans="1:11" ht="15" customHeight="1">
      <c r="A356" s="318" t="s">
        <v>534</v>
      </c>
      <c r="B356" s="906" t="s">
        <v>535</v>
      </c>
      <c r="C356" s="906"/>
      <c r="D356" s="906"/>
      <c r="E356" s="906" t="s">
        <v>308</v>
      </c>
      <c r="F356" s="190">
        <v>0</v>
      </c>
    </row>
    <row r="357" spans="1:11" ht="15" customHeight="1">
      <c r="A357" s="318" t="s">
        <v>423</v>
      </c>
      <c r="B357" s="906" t="s">
        <v>424</v>
      </c>
      <c r="C357" s="906"/>
      <c r="D357" s="906"/>
      <c r="E357" s="906"/>
      <c r="F357" s="190">
        <v>100000</v>
      </c>
    </row>
    <row r="358" spans="1:11" ht="15" customHeight="1">
      <c r="A358" s="318" t="s">
        <v>145</v>
      </c>
      <c r="B358" s="906" t="s">
        <v>146</v>
      </c>
      <c r="C358" s="906"/>
      <c r="D358" s="906"/>
      <c r="E358" s="906"/>
      <c r="F358" s="190"/>
    </row>
    <row r="359" spans="1:11" ht="15" customHeight="1">
      <c r="A359" s="86" t="s">
        <v>147</v>
      </c>
      <c r="B359" s="906" t="s">
        <v>148</v>
      </c>
      <c r="C359" s="906"/>
      <c r="D359" s="906"/>
      <c r="E359" s="906"/>
      <c r="F359" s="190"/>
      <c r="K359" s="146"/>
    </row>
    <row r="360" spans="1:11" ht="15" customHeight="1">
      <c r="A360" s="114" t="s">
        <v>290</v>
      </c>
      <c r="B360" s="906" t="s">
        <v>150</v>
      </c>
      <c r="C360" s="906"/>
      <c r="D360" s="906"/>
      <c r="E360" s="906"/>
      <c r="F360" s="190">
        <f>SUM(F361:F362)</f>
        <v>100000</v>
      </c>
      <c r="K360" s="146"/>
    </row>
    <row r="361" spans="1:11" ht="15" customHeight="1">
      <c r="A361" s="114"/>
      <c r="B361" s="87" t="s">
        <v>549</v>
      </c>
      <c r="C361" s="373">
        <v>5000</v>
      </c>
      <c r="D361" s="373">
        <v>7</v>
      </c>
      <c r="E361" s="373">
        <v>1</v>
      </c>
      <c r="F361" s="259">
        <f>SUM(C361*D361)</f>
        <v>35000</v>
      </c>
      <c r="K361" s="146"/>
    </row>
    <row r="362" spans="1:11" ht="15" customHeight="1">
      <c r="A362" s="114"/>
      <c r="B362" s="87" t="s">
        <v>550</v>
      </c>
      <c r="C362" s="373"/>
      <c r="D362" s="373"/>
      <c r="E362" s="373"/>
      <c r="F362" s="259">
        <v>65000</v>
      </c>
      <c r="K362" s="146"/>
    </row>
    <row r="363" spans="1:11" ht="27" customHeight="1">
      <c r="A363" s="114" t="s">
        <v>153</v>
      </c>
      <c r="B363" s="906" t="s">
        <v>154</v>
      </c>
      <c r="C363" s="906"/>
      <c r="D363" s="906"/>
      <c r="E363" s="906"/>
      <c r="F363" s="190">
        <f>SUM(F364:F365)</f>
        <v>1180000</v>
      </c>
    </row>
    <row r="364" spans="1:11" ht="15" customHeight="1">
      <c r="A364" s="114"/>
      <c r="B364" s="87" t="s">
        <v>664</v>
      </c>
      <c r="C364" s="373">
        <v>80000</v>
      </c>
      <c r="D364" s="373">
        <v>1</v>
      </c>
      <c r="E364" s="373"/>
      <c r="F364" s="259">
        <f>SUM(C364*D364)</f>
        <v>80000</v>
      </c>
      <c r="K364" s="146"/>
    </row>
    <row r="365" spans="1:11" ht="15" customHeight="1">
      <c r="A365" s="114"/>
      <c r="B365" s="87" t="s">
        <v>664</v>
      </c>
      <c r="C365" s="373">
        <v>100000</v>
      </c>
      <c r="D365" s="373">
        <v>11</v>
      </c>
      <c r="E365" s="373"/>
      <c r="F365" s="259">
        <f>SUM(C365*D365)</f>
        <v>1100000</v>
      </c>
      <c r="K365" s="146"/>
    </row>
    <row r="366" spans="1:11" ht="15" customHeight="1">
      <c r="A366" s="673" t="s">
        <v>8</v>
      </c>
      <c r="B366" s="930" t="s">
        <v>9</v>
      </c>
      <c r="C366" s="930"/>
      <c r="D366" s="930"/>
      <c r="E366" s="931"/>
      <c r="F366" s="261">
        <f>SUM(F351+F355+F357+F359+F360+F363+F352)</f>
        <v>6140000</v>
      </c>
      <c r="K366" s="146"/>
    </row>
    <row r="367" spans="1:11" ht="18" customHeight="1">
      <c r="A367" s="928" t="s">
        <v>347</v>
      </c>
      <c r="B367" s="881" t="s">
        <v>158</v>
      </c>
      <c r="C367" s="881"/>
      <c r="D367" s="881"/>
      <c r="E367" s="881"/>
      <c r="F367" s="881"/>
    </row>
    <row r="368" spans="1:11" ht="18" customHeight="1">
      <c r="A368" s="928"/>
      <c r="B368" s="202" t="s">
        <v>626</v>
      </c>
      <c r="C368" s="373">
        <f>SUM(F357)</f>
        <v>100000</v>
      </c>
      <c r="D368" s="229">
        <v>0.15</v>
      </c>
      <c r="E368" s="202"/>
      <c r="F368" s="189">
        <f>SUM(C368*D368)</f>
        <v>15000</v>
      </c>
    </row>
    <row r="369" spans="1:8" ht="18" customHeight="1">
      <c r="A369" s="928"/>
      <c r="B369" s="87" t="s">
        <v>158</v>
      </c>
      <c r="C369" s="106">
        <f>F351+F355+F359+F360+F357+F358+F363+F356+F352</f>
        <v>6140000</v>
      </c>
      <c r="D369" s="229">
        <v>0.13</v>
      </c>
      <c r="F369" s="189">
        <f>C369*D369</f>
        <v>798200</v>
      </c>
    </row>
    <row r="370" spans="1:8" ht="18" customHeight="1">
      <c r="A370" s="928"/>
      <c r="B370" s="880" t="s">
        <v>627</v>
      </c>
      <c r="C370" s="880"/>
      <c r="D370" s="880"/>
      <c r="E370" s="880"/>
      <c r="F370" s="190">
        <v>815000</v>
      </c>
      <c r="H370" s="618"/>
    </row>
    <row r="371" spans="1:8" ht="18" customHeight="1">
      <c r="A371" s="114" t="s">
        <v>161</v>
      </c>
      <c r="B371" s="275" t="s">
        <v>162</v>
      </c>
      <c r="C371" s="276"/>
      <c r="D371" s="493">
        <v>0.05</v>
      </c>
      <c r="E371" s="276"/>
      <c r="F371" s="261">
        <v>30000</v>
      </c>
      <c r="G371" s="203"/>
      <c r="H371" s="671">
        <f>SUM(F371*D371)</f>
        <v>1500</v>
      </c>
    </row>
    <row r="372" spans="1:8" ht="18" customHeight="1">
      <c r="A372" s="86" t="s">
        <v>169</v>
      </c>
      <c r="B372" s="275" t="s">
        <v>170</v>
      </c>
      <c r="C372" s="276"/>
      <c r="D372" s="493">
        <v>0.27</v>
      </c>
      <c r="E372" s="276"/>
      <c r="F372" s="261">
        <f>SUM(F373:F374)</f>
        <v>150000</v>
      </c>
      <c r="G372" s="203"/>
      <c r="H372" s="671">
        <f>SUM(F372*D372)</f>
        <v>40500</v>
      </c>
    </row>
    <row r="373" spans="1:8" ht="18" customHeight="1">
      <c r="A373" s="86"/>
      <c r="B373" s="87" t="s">
        <v>553</v>
      </c>
      <c r="C373" s="106"/>
      <c r="D373" s="198"/>
      <c r="E373" s="106">
        <v>50000</v>
      </c>
      <c r="F373" s="259">
        <v>50000</v>
      </c>
      <c r="G373" s="203"/>
      <c r="H373" s="671"/>
    </row>
    <row r="374" spans="1:8" ht="18" customHeight="1">
      <c r="A374" s="86"/>
      <c r="B374" s="87" t="s">
        <v>583</v>
      </c>
      <c r="C374" s="106"/>
      <c r="D374" s="198"/>
      <c r="E374" s="106"/>
      <c r="F374" s="259">
        <v>100000</v>
      </c>
      <c r="G374" s="203"/>
      <c r="H374" s="671"/>
    </row>
    <row r="375" spans="1:8" ht="18" customHeight="1">
      <c r="A375" s="114" t="s">
        <v>425</v>
      </c>
      <c r="B375" s="275" t="s">
        <v>320</v>
      </c>
      <c r="C375" s="276"/>
      <c r="D375" s="493"/>
      <c r="E375" s="276"/>
      <c r="F375" s="261">
        <f>SUM(F376)</f>
        <v>42000</v>
      </c>
      <c r="G375" s="203"/>
      <c r="H375" s="671"/>
    </row>
    <row r="376" spans="1:8" ht="18" customHeight="1">
      <c r="A376" s="114"/>
      <c r="B376" s="87" t="s">
        <v>629</v>
      </c>
      <c r="C376" s="106">
        <v>7000</v>
      </c>
      <c r="D376" s="198">
        <v>0.05</v>
      </c>
      <c r="E376" s="106">
        <v>6</v>
      </c>
      <c r="F376" s="259">
        <f>SUM(C376*E376)</f>
        <v>42000</v>
      </c>
      <c r="G376" s="203"/>
      <c r="H376" s="671">
        <f>SUM(F376*D376)</f>
        <v>2100</v>
      </c>
    </row>
    <row r="377" spans="1:8" ht="18" customHeight="1">
      <c r="A377" s="86" t="s">
        <v>184</v>
      </c>
      <c r="B377" s="275" t="s">
        <v>185</v>
      </c>
      <c r="C377" s="276"/>
      <c r="D377" s="493">
        <v>0.27</v>
      </c>
      <c r="E377" s="276"/>
      <c r="F377" s="261">
        <f>SUM(F378)</f>
        <v>90000</v>
      </c>
      <c r="G377" s="203"/>
      <c r="H377" s="671"/>
    </row>
    <row r="378" spans="1:8" ht="18" customHeight="1">
      <c r="A378" s="86"/>
      <c r="B378" s="87" t="s">
        <v>630</v>
      </c>
      <c r="C378" s="106">
        <v>15000</v>
      </c>
      <c r="D378" s="198">
        <v>0.27</v>
      </c>
      <c r="E378" s="106">
        <v>6</v>
      </c>
      <c r="F378" s="259">
        <f>SUM(C378*E378)</f>
        <v>90000</v>
      </c>
      <c r="G378" s="203"/>
      <c r="H378" s="671">
        <f>SUM(F378*D378)</f>
        <v>24300</v>
      </c>
    </row>
    <row r="379" spans="1:8" ht="18" customHeight="1">
      <c r="A379" s="86" t="s">
        <v>198</v>
      </c>
      <c r="B379" s="275" t="s">
        <v>199</v>
      </c>
      <c r="C379" s="276"/>
      <c r="D379" s="493">
        <v>0.27</v>
      </c>
      <c r="E379" s="276"/>
      <c r="F379" s="261">
        <v>50000</v>
      </c>
      <c r="G379" s="203"/>
      <c r="H379" s="671">
        <f t="shared" ref="H379:H384" si="9">SUM(F379*D379)</f>
        <v>13500</v>
      </c>
    </row>
    <row r="380" spans="1:8" ht="16.5" customHeight="1">
      <c r="A380" s="929" t="s">
        <v>200</v>
      </c>
      <c r="B380" s="275" t="s">
        <v>201</v>
      </c>
      <c r="C380" s="276"/>
      <c r="D380" s="493"/>
      <c r="E380" s="276"/>
      <c r="F380" s="261">
        <f>SUM(F381:F382)</f>
        <v>110000</v>
      </c>
      <c r="G380" s="203"/>
      <c r="H380" s="671">
        <f t="shared" si="9"/>
        <v>0</v>
      </c>
    </row>
    <row r="381" spans="1:8" ht="16.5" customHeight="1">
      <c r="A381" s="929"/>
      <c r="B381" s="202" t="s">
        <v>632</v>
      </c>
      <c r="C381" s="202"/>
      <c r="D381" s="667" t="s">
        <v>561</v>
      </c>
      <c r="E381" s="202"/>
      <c r="F381" s="189">
        <v>100000</v>
      </c>
      <c r="G381" s="203"/>
      <c r="H381" s="671"/>
    </row>
    <row r="382" spans="1:8" ht="15" customHeight="1">
      <c r="A382" s="929"/>
      <c r="B382" s="87" t="s">
        <v>631</v>
      </c>
      <c r="C382" s="106"/>
      <c r="D382" s="198" t="s">
        <v>561</v>
      </c>
      <c r="E382" s="106"/>
      <c r="F382" s="189">
        <v>10000</v>
      </c>
      <c r="G382" s="203"/>
      <c r="H382" s="671"/>
    </row>
    <row r="383" spans="1:8" ht="17.25" customHeight="1">
      <c r="A383" s="230" t="s">
        <v>204</v>
      </c>
      <c r="B383" s="275" t="s">
        <v>205</v>
      </c>
      <c r="C383" s="276"/>
      <c r="D383" s="493">
        <v>0.27</v>
      </c>
      <c r="E383" s="276"/>
      <c r="F383" s="261">
        <v>20000</v>
      </c>
      <c r="G383" s="203"/>
      <c r="H383" s="671">
        <f t="shared" si="9"/>
        <v>5400</v>
      </c>
    </row>
    <row r="384" spans="1:8" ht="18" customHeight="1">
      <c r="A384" s="114" t="s">
        <v>291</v>
      </c>
      <c r="B384" s="275" t="s">
        <v>292</v>
      </c>
      <c r="C384" s="276"/>
      <c r="D384" s="493"/>
      <c r="E384" s="276"/>
      <c r="F384" s="261">
        <v>50000</v>
      </c>
      <c r="G384" s="203"/>
      <c r="H384" s="671">
        <f t="shared" si="9"/>
        <v>0</v>
      </c>
    </row>
    <row r="385" spans="1:8" ht="21.75" customHeight="1">
      <c r="A385" s="191" t="s">
        <v>212</v>
      </c>
      <c r="B385" s="275" t="s">
        <v>270</v>
      </c>
      <c r="C385" s="276"/>
      <c r="D385" s="493"/>
      <c r="E385" s="276"/>
      <c r="F385" s="261">
        <v>87300</v>
      </c>
      <c r="G385" s="212"/>
      <c r="H385" s="672">
        <f>SUM(H371:H384)</f>
        <v>87300</v>
      </c>
    </row>
    <row r="386" spans="1:8" ht="19.5" customHeight="1">
      <c r="A386" s="114" t="s">
        <v>244</v>
      </c>
      <c r="B386" s="87" t="s">
        <v>245</v>
      </c>
      <c r="C386" s="106"/>
      <c r="D386" s="198"/>
      <c r="E386" s="106"/>
      <c r="F386" s="259"/>
      <c r="G386" s="212"/>
      <c r="H386" s="670"/>
    </row>
    <row r="387" spans="1:8" ht="18" customHeight="1">
      <c r="A387" s="230" t="s">
        <v>246</v>
      </c>
      <c r="B387" s="906" t="s">
        <v>350</v>
      </c>
      <c r="C387" s="906"/>
      <c r="D387" s="906"/>
      <c r="E387" s="906"/>
      <c r="F387" s="190"/>
      <c r="H387" s="618"/>
    </row>
    <row r="388" spans="1:8" ht="18" customHeight="1">
      <c r="A388" s="230"/>
      <c r="B388" s="150"/>
      <c r="C388" s="150"/>
      <c r="D388" s="207"/>
      <c r="E388" s="150"/>
      <c r="F388" s="181"/>
      <c r="H388" s="618"/>
    </row>
    <row r="389" spans="1:8" ht="21.75" customHeight="1">
      <c r="A389" s="230" t="s">
        <v>248</v>
      </c>
      <c r="B389" s="92" t="s">
        <v>275</v>
      </c>
      <c r="C389" s="95"/>
      <c r="D389" s="207">
        <v>0.27</v>
      </c>
      <c r="E389" s="95"/>
      <c r="F389" s="329"/>
      <c r="H389" s="618"/>
    </row>
    <row r="390" spans="1:8" ht="21.75" customHeight="1">
      <c r="A390" s="145" t="s">
        <v>250</v>
      </c>
      <c r="B390" s="925" t="s">
        <v>501</v>
      </c>
      <c r="C390" s="925"/>
      <c r="D390" s="925"/>
      <c r="E390" s="925"/>
      <c r="F390" s="329">
        <v>0</v>
      </c>
      <c r="H390" s="618"/>
    </row>
    <row r="391" spans="1:8" ht="21.75" customHeight="1" thickBot="1">
      <c r="A391" s="424" t="s">
        <v>254</v>
      </c>
      <c r="B391" s="105" t="s">
        <v>276</v>
      </c>
      <c r="C391" s="321"/>
      <c r="D391" s="469">
        <v>0.27</v>
      </c>
      <c r="E391" s="321"/>
      <c r="F391" s="470">
        <v>0</v>
      </c>
      <c r="H391" s="618"/>
    </row>
    <row r="392" spans="1:8" ht="21.75" customHeight="1" thickBot="1">
      <c r="A392" s="894" t="s">
        <v>278</v>
      </c>
      <c r="B392" s="894"/>
      <c r="C392" s="894"/>
      <c r="D392" s="894"/>
      <c r="E392" s="894"/>
      <c r="F392" s="211">
        <f>SUM(F366+F370+F371+F372+F375+F377+F379+F383+F384+F385+F380+F387+F389+F390+F391)</f>
        <v>7584300</v>
      </c>
      <c r="G392" s="203">
        <f>SUM(F392-'Kiadások COFOG szerint'!F222)</f>
        <v>0</v>
      </c>
      <c r="H392" s="618"/>
    </row>
    <row r="393" spans="1:8" ht="21.75" customHeight="1" thickBot="1">
      <c r="A393" s="895" t="s">
        <v>428</v>
      </c>
      <c r="B393" s="895"/>
      <c r="C393" s="895"/>
      <c r="D393" s="895"/>
      <c r="E393" s="895"/>
      <c r="F393" s="895"/>
      <c r="H393" s="618"/>
    </row>
    <row r="394" spans="1:8" ht="21.75" customHeight="1" thickBot="1">
      <c r="A394" s="885" t="s">
        <v>46</v>
      </c>
      <c r="B394" s="887" t="s">
        <v>47</v>
      </c>
      <c r="C394" s="889">
        <v>2023</v>
      </c>
      <c r="D394" s="889"/>
      <c r="E394" s="889"/>
      <c r="F394" s="889"/>
    </row>
    <row r="395" spans="1:8" ht="21.75" customHeight="1" thickBot="1">
      <c r="A395" s="885"/>
      <c r="B395" s="887"/>
      <c r="C395" s="924"/>
      <c r="D395" s="924"/>
      <c r="E395" s="924"/>
      <c r="F395" s="677" t="s">
        <v>509</v>
      </c>
    </row>
    <row r="396" spans="1:8" ht="21.75" customHeight="1">
      <c r="A396" s="971" t="s">
        <v>200</v>
      </c>
      <c r="B396" s="353" t="s">
        <v>201</v>
      </c>
      <c r="C396" s="381" t="s">
        <v>429</v>
      </c>
      <c r="D396" s="719">
        <v>8000</v>
      </c>
      <c r="E396" s="381">
        <v>3</v>
      </c>
      <c r="F396" s="354">
        <f>SUM(D396*E396)</f>
        <v>24000</v>
      </c>
    </row>
    <row r="397" spans="1:8" ht="21.75" customHeight="1" thickBot="1">
      <c r="A397" s="972"/>
      <c r="B397" s="142" t="s">
        <v>201</v>
      </c>
      <c r="C397" s="143" t="s">
        <v>429</v>
      </c>
      <c r="D397" s="250">
        <v>8700</v>
      </c>
      <c r="E397" s="321">
        <v>12</v>
      </c>
      <c r="F397" s="720">
        <f>SUM(D397*E397)</f>
        <v>104400</v>
      </c>
    </row>
    <row r="398" spans="1:8" ht="21.75" customHeight="1" thickBot="1">
      <c r="A398" s="894" t="s">
        <v>278</v>
      </c>
      <c r="B398" s="894"/>
      <c r="C398" s="894"/>
      <c r="D398" s="894"/>
      <c r="E398" s="894"/>
      <c r="F398" s="211">
        <f>SUM(F396:F397)</f>
        <v>128400</v>
      </c>
      <c r="G398" s="203"/>
    </row>
    <row r="399" spans="1:8" ht="23.25" customHeight="1" thickBot="1">
      <c r="A399" s="895" t="s">
        <v>431</v>
      </c>
      <c r="B399" s="895"/>
      <c r="C399" s="895"/>
      <c r="D399" s="895"/>
      <c r="E399" s="895"/>
      <c r="F399" s="895"/>
    </row>
    <row r="400" spans="1:8" ht="18" customHeight="1" thickBot="1">
      <c r="A400" s="885" t="s">
        <v>46</v>
      </c>
      <c r="B400" s="887" t="s">
        <v>47</v>
      </c>
      <c r="C400" s="889">
        <v>2023</v>
      </c>
      <c r="D400" s="889"/>
      <c r="E400" s="889"/>
      <c r="F400" s="889"/>
    </row>
    <row r="401" spans="1:11" ht="25.5" customHeight="1" thickBot="1">
      <c r="A401" s="885"/>
      <c r="B401" s="887"/>
      <c r="C401" s="890"/>
      <c r="D401" s="890"/>
      <c r="E401" s="890"/>
      <c r="F401" s="185" t="s">
        <v>509</v>
      </c>
    </row>
    <row r="402" spans="1:11" ht="21">
      <c r="A402" s="355" t="s">
        <v>153</v>
      </c>
      <c r="B402" s="620" t="s">
        <v>154</v>
      </c>
      <c r="C402" s="381"/>
      <c r="D402" s="621"/>
      <c r="E402" s="381"/>
      <c r="F402" s="354"/>
    </row>
    <row r="403" spans="1:11" ht="15" customHeight="1">
      <c r="A403" s="318" t="s">
        <v>153</v>
      </c>
      <c r="B403" s="87" t="s">
        <v>432</v>
      </c>
      <c r="C403" s="106">
        <f>SUM(F402)</f>
        <v>0</v>
      </c>
      <c r="D403" s="193">
        <v>0.13</v>
      </c>
      <c r="E403" s="106">
        <f>SUM(C403*D403)</f>
        <v>0</v>
      </c>
      <c r="F403" s="259"/>
    </row>
    <row r="404" spans="1:11" ht="15" customHeight="1">
      <c r="A404" s="318" t="s">
        <v>169</v>
      </c>
      <c r="B404" s="87" t="s">
        <v>170</v>
      </c>
      <c r="C404" s="106"/>
      <c r="D404" s="198">
        <v>0.27</v>
      </c>
      <c r="E404" s="106"/>
      <c r="F404" s="259"/>
    </row>
    <row r="405" spans="1:11" ht="15" customHeight="1">
      <c r="A405" s="318" t="s">
        <v>204</v>
      </c>
      <c r="B405" s="87" t="s">
        <v>408</v>
      </c>
      <c r="C405" s="106"/>
      <c r="D405" s="198">
        <v>0.27</v>
      </c>
      <c r="E405" s="106"/>
      <c r="F405" s="259"/>
    </row>
    <row r="406" spans="1:11" ht="24" customHeight="1">
      <c r="A406" s="114" t="s">
        <v>212</v>
      </c>
      <c r="B406" s="87" t="s">
        <v>270</v>
      </c>
      <c r="C406" s="106">
        <f>F404+F405</f>
        <v>0</v>
      </c>
      <c r="D406" s="198">
        <v>0.27</v>
      </c>
      <c r="E406" s="188">
        <f>SUM(C406*D406)</f>
        <v>0</v>
      </c>
      <c r="F406" s="259"/>
      <c r="G406" s="203" t="s">
        <v>516</v>
      </c>
    </row>
    <row r="407" spans="1:11" ht="18" customHeight="1">
      <c r="A407" s="114" t="s">
        <v>246</v>
      </c>
      <c r="B407" s="87" t="s">
        <v>481</v>
      </c>
      <c r="C407" s="106"/>
      <c r="D407" s="198">
        <v>0.27</v>
      </c>
      <c r="E407" s="188"/>
      <c r="F407" s="259"/>
      <c r="G407" s="203"/>
    </row>
    <row r="408" spans="1:11" ht="18" customHeight="1">
      <c r="A408" s="91"/>
      <c r="B408" s="92" t="s">
        <v>606</v>
      </c>
      <c r="C408" s="95"/>
      <c r="D408" s="198">
        <v>0.27</v>
      </c>
      <c r="E408" s="218"/>
      <c r="F408" s="181"/>
      <c r="G408" s="203"/>
    </row>
    <row r="409" spans="1:11" ht="21.75" customHeight="1" thickBot="1">
      <c r="A409" s="91" t="s">
        <v>248</v>
      </c>
      <c r="B409" s="92" t="s">
        <v>275</v>
      </c>
      <c r="C409" s="95">
        <f>F407</f>
        <v>0</v>
      </c>
      <c r="D409" s="198">
        <v>0.27</v>
      </c>
      <c r="E409" s="218">
        <f>C409*D409</f>
        <v>0</v>
      </c>
      <c r="F409" s="329"/>
      <c r="G409" s="203"/>
    </row>
    <row r="410" spans="1:11" ht="21.75" customHeight="1" thickBot="1">
      <c r="A410" s="894" t="s">
        <v>278</v>
      </c>
      <c r="B410" s="894"/>
      <c r="C410" s="894"/>
      <c r="D410" s="894"/>
      <c r="E410" s="894"/>
      <c r="F410" s="211">
        <f>SUM(F402,F403,F404,F405,F406,F407,F409)</f>
        <v>0</v>
      </c>
      <c r="G410" s="203">
        <f>SUM(F410-'Kiadások COFOG szerint'!F245)</f>
        <v>0</v>
      </c>
    </row>
    <row r="411" spans="1:11" ht="24" customHeight="1" thickBot="1">
      <c r="A411" s="900" t="s">
        <v>294</v>
      </c>
      <c r="B411" s="900"/>
      <c r="C411" s="900"/>
      <c r="D411" s="900"/>
      <c r="E411" s="900"/>
      <c r="F411" s="900"/>
    </row>
    <row r="412" spans="1:11" ht="21" customHeight="1" thickBot="1">
      <c r="A412" s="886" t="s">
        <v>46</v>
      </c>
      <c r="B412" s="888" t="s">
        <v>47</v>
      </c>
      <c r="C412" s="889">
        <v>2023</v>
      </c>
      <c r="D412" s="889"/>
      <c r="E412" s="889"/>
      <c r="F412" s="889"/>
    </row>
    <row r="413" spans="1:11" ht="24" customHeight="1" thickBot="1">
      <c r="A413" s="886"/>
      <c r="B413" s="888"/>
      <c r="C413" s="890"/>
      <c r="D413" s="890"/>
      <c r="E413" s="890"/>
      <c r="F413" s="185" t="s">
        <v>509</v>
      </c>
    </row>
    <row r="414" spans="1:11" ht="22.5" customHeight="1" thickBot="1">
      <c r="A414" s="926" t="s">
        <v>238</v>
      </c>
      <c r="B414" s="142" t="s">
        <v>295</v>
      </c>
      <c r="C414" s="917" t="s">
        <v>434</v>
      </c>
      <c r="D414" s="917"/>
      <c r="E414" s="917"/>
      <c r="F414" s="213">
        <v>100000</v>
      </c>
      <c r="G414" s="203"/>
      <c r="J414" s="165"/>
    </row>
    <row r="415" spans="1:11" ht="22.5" customHeight="1" thickBot="1">
      <c r="A415" s="926"/>
      <c r="B415" s="918"/>
      <c r="C415" s="912" t="s">
        <v>471</v>
      </c>
      <c r="D415" s="912"/>
      <c r="E415" s="912"/>
      <c r="F415" s="181">
        <v>250000</v>
      </c>
      <c r="G415" s="203"/>
      <c r="J415" s="165"/>
    </row>
    <row r="416" spans="1:11" ht="22.5" customHeight="1" thickBot="1">
      <c r="A416" s="926"/>
      <c r="B416" s="919"/>
      <c r="C416" s="912" t="s">
        <v>435</v>
      </c>
      <c r="D416" s="912"/>
      <c r="E416" s="912"/>
      <c r="F416" s="181">
        <v>50000</v>
      </c>
      <c r="G416" s="203"/>
      <c r="J416" s="123"/>
      <c r="K416" s="204"/>
    </row>
    <row r="417" spans="1:11" ht="22.5" customHeight="1" thickBot="1">
      <c r="A417" s="926"/>
      <c r="B417" s="919"/>
      <c r="C417" s="912" t="s">
        <v>436</v>
      </c>
      <c r="D417" s="912"/>
      <c r="E417" s="912"/>
      <c r="F417" s="181">
        <v>2800000</v>
      </c>
      <c r="G417" s="203"/>
      <c r="J417" s="123"/>
      <c r="K417" s="204"/>
    </row>
    <row r="418" spans="1:11" ht="22.5" customHeight="1" thickBot="1">
      <c r="A418" s="926"/>
      <c r="B418" s="919"/>
      <c r="C418" s="921" t="s">
        <v>540</v>
      </c>
      <c r="D418" s="922"/>
      <c r="E418" s="923"/>
      <c r="F418" s="181">
        <v>250000</v>
      </c>
      <c r="G418" s="203"/>
      <c r="J418" s="123"/>
      <c r="K418" s="204"/>
    </row>
    <row r="419" spans="1:11" ht="22.5" customHeight="1" thickBot="1">
      <c r="A419" s="926"/>
      <c r="B419" s="919"/>
      <c r="C419" s="912" t="s">
        <v>437</v>
      </c>
      <c r="D419" s="912"/>
      <c r="E419" s="912"/>
      <c r="F419" s="181">
        <v>50000</v>
      </c>
      <c r="G419" s="203"/>
      <c r="J419" s="123"/>
      <c r="K419" s="204"/>
    </row>
    <row r="420" spans="1:11" ht="22.5" customHeight="1" thickBot="1">
      <c r="A420" s="926"/>
      <c r="B420" s="919"/>
      <c r="C420" s="912" t="s">
        <v>438</v>
      </c>
      <c r="D420" s="912"/>
      <c r="E420" s="912"/>
      <c r="F420" s="181">
        <v>400000</v>
      </c>
      <c r="G420" s="203"/>
      <c r="J420" s="123"/>
      <c r="K420" s="204"/>
    </row>
    <row r="421" spans="1:11" ht="22.5" customHeight="1" thickBot="1">
      <c r="A421" s="926"/>
      <c r="B421" s="919"/>
      <c r="C421" s="912" t="s">
        <v>439</v>
      </c>
      <c r="D421" s="912"/>
      <c r="E421" s="912"/>
      <c r="F421" s="181">
        <v>400000</v>
      </c>
      <c r="G421" s="203"/>
      <c r="J421" s="123"/>
      <c r="K421" s="204"/>
    </row>
    <row r="422" spans="1:11" ht="22.5" customHeight="1" thickBot="1">
      <c r="A422" s="926"/>
      <c r="B422" s="919"/>
      <c r="C422" s="912" t="s">
        <v>440</v>
      </c>
      <c r="D422" s="912"/>
      <c r="E422" s="912"/>
      <c r="F422" s="181">
        <v>200000</v>
      </c>
      <c r="G422" s="203"/>
      <c r="J422" s="123"/>
      <c r="K422" s="204"/>
    </row>
    <row r="423" spans="1:11" ht="22.5" customHeight="1" thickBot="1">
      <c r="A423" s="926"/>
      <c r="B423" s="919"/>
      <c r="C423" s="912" t="s">
        <v>441</v>
      </c>
      <c r="D423" s="912"/>
      <c r="E423" s="912"/>
      <c r="F423" s="181">
        <v>400000</v>
      </c>
      <c r="G423" s="203"/>
      <c r="J423" s="123"/>
      <c r="K423" s="204"/>
    </row>
    <row r="424" spans="1:11" ht="22.5" customHeight="1" thickBot="1">
      <c r="A424" s="926"/>
      <c r="B424" s="919"/>
      <c r="C424" s="912" t="s">
        <v>541</v>
      </c>
      <c r="D424" s="912"/>
      <c r="E424" s="912"/>
      <c r="F424" s="181">
        <v>200000</v>
      </c>
      <c r="G424" s="203"/>
      <c r="J424" s="123"/>
      <c r="K424" s="204"/>
    </row>
    <row r="425" spans="1:11" ht="22.5" customHeight="1" thickBot="1">
      <c r="A425" s="926"/>
      <c r="B425" s="919"/>
      <c r="C425" s="913" t="s">
        <v>448</v>
      </c>
      <c r="D425" s="913"/>
      <c r="E425" s="913"/>
      <c r="F425" s="543">
        <v>469700</v>
      </c>
      <c r="G425" s="203"/>
      <c r="J425" s="123"/>
      <c r="K425" s="204"/>
    </row>
    <row r="426" spans="1:11" ht="22.5" customHeight="1" thickBot="1">
      <c r="A426" s="926"/>
      <c r="B426" s="919"/>
      <c r="C426" s="912" t="s">
        <v>442</v>
      </c>
      <c r="D426" s="912"/>
      <c r="E426" s="912"/>
      <c r="F426" s="181">
        <v>100000</v>
      </c>
      <c r="G426" s="203"/>
      <c r="J426" s="123"/>
      <c r="K426" s="204"/>
    </row>
    <row r="427" spans="1:11" ht="22.5" customHeight="1" thickBot="1">
      <c r="A427" s="926"/>
      <c r="B427" s="919"/>
      <c r="C427" s="912" t="s">
        <v>443</v>
      </c>
      <c r="D427" s="912"/>
      <c r="E427" s="912"/>
      <c r="F427" s="181">
        <v>0</v>
      </c>
      <c r="G427" s="203"/>
      <c r="J427" s="123"/>
      <c r="K427" s="204"/>
    </row>
    <row r="428" spans="1:11" ht="21" customHeight="1" thickBot="1">
      <c r="A428" s="926"/>
      <c r="B428" s="919"/>
      <c r="C428" s="912" t="s">
        <v>444</v>
      </c>
      <c r="D428" s="912"/>
      <c r="E428" s="912"/>
      <c r="F428" s="181">
        <v>0</v>
      </c>
      <c r="G428" s="203"/>
      <c r="J428" s="123"/>
      <c r="K428" s="204"/>
    </row>
    <row r="429" spans="1:11" ht="21.75" customHeight="1" thickBot="1">
      <c r="A429" s="926"/>
      <c r="B429" s="919"/>
      <c r="C429" s="912" t="s">
        <v>445</v>
      </c>
      <c r="D429" s="912"/>
      <c r="E429" s="912"/>
      <c r="F429" s="181">
        <v>150000</v>
      </c>
      <c r="G429" s="203"/>
      <c r="J429" s="123"/>
      <c r="K429" s="204"/>
    </row>
    <row r="430" spans="1:11" ht="21.75" customHeight="1" thickBot="1">
      <c r="A430" s="926"/>
      <c r="B430" s="919"/>
      <c r="C430" s="912" t="s">
        <v>449</v>
      </c>
      <c r="D430" s="912"/>
      <c r="E430" s="912"/>
      <c r="F430" s="181">
        <v>70000</v>
      </c>
      <c r="G430" s="203"/>
      <c r="J430" s="129"/>
    </row>
    <row r="431" spans="1:11" ht="21.75" customHeight="1" thickBot="1">
      <c r="A431" s="926"/>
      <c r="B431" s="919"/>
      <c r="C431" s="912" t="s">
        <v>446</v>
      </c>
      <c r="D431" s="912"/>
      <c r="E431" s="912"/>
      <c r="F431" s="181">
        <v>300000</v>
      </c>
      <c r="G431" s="203"/>
      <c r="J431" s="165"/>
    </row>
    <row r="432" spans="1:11" ht="21.75" customHeight="1" thickBot="1">
      <c r="A432" s="927"/>
      <c r="B432" s="919"/>
      <c r="C432" s="920" t="s">
        <v>447</v>
      </c>
      <c r="D432" s="920"/>
      <c r="E432" s="920"/>
      <c r="F432" s="181">
        <v>100000</v>
      </c>
      <c r="G432" s="203"/>
      <c r="J432" s="165"/>
    </row>
    <row r="433" spans="1:16" ht="24" customHeight="1" thickBot="1">
      <c r="A433" s="894" t="s">
        <v>278</v>
      </c>
      <c r="B433" s="894"/>
      <c r="C433" s="894"/>
      <c r="D433" s="894"/>
      <c r="E433" s="883"/>
      <c r="F433" s="211">
        <f>SUM(F414:F432)</f>
        <v>6289700</v>
      </c>
      <c r="G433" s="203">
        <f>SUM(F433-'Kiadások COFOG szerint'!F250)</f>
        <v>0</v>
      </c>
    </row>
    <row r="434" spans="1:16" ht="24.75" customHeight="1" thickBot="1">
      <c r="A434" s="900" t="s">
        <v>136</v>
      </c>
      <c r="B434" s="900"/>
      <c r="C434" s="900"/>
      <c r="D434" s="900"/>
      <c r="E434" s="900"/>
      <c r="F434" s="900"/>
    </row>
    <row r="435" spans="1:16" ht="21.75" customHeight="1" thickBot="1">
      <c r="A435" s="885" t="s">
        <v>46</v>
      </c>
      <c r="B435" s="887" t="s">
        <v>47</v>
      </c>
      <c r="C435" s="889">
        <v>2023</v>
      </c>
      <c r="D435" s="889"/>
      <c r="E435" s="889"/>
      <c r="F435" s="889"/>
      <c r="M435" s="39"/>
      <c r="N435" s="39"/>
      <c r="O435" s="39"/>
      <c r="P435" s="39"/>
    </row>
    <row r="436" spans="1:16" ht="24.75" customHeight="1" thickBot="1">
      <c r="A436" s="885"/>
      <c r="B436" s="887"/>
      <c r="C436" s="890"/>
      <c r="D436" s="890"/>
      <c r="E436" s="890"/>
      <c r="F436" s="185" t="s">
        <v>509</v>
      </c>
      <c r="O436" s="170"/>
    </row>
    <row r="437" spans="1:16" ht="12.75" customHeight="1">
      <c r="A437" s="214" t="s">
        <v>141</v>
      </c>
      <c r="B437" s="905" t="s">
        <v>142</v>
      </c>
      <c r="C437" s="905"/>
      <c r="D437" s="905"/>
      <c r="E437" s="905"/>
      <c r="F437" s="905"/>
      <c r="O437" s="171"/>
    </row>
    <row r="438" spans="1:16" ht="21.75" customHeight="1">
      <c r="A438" s="191"/>
      <c r="B438" s="195" t="s">
        <v>699</v>
      </c>
      <c r="C438" s="106">
        <v>288000</v>
      </c>
      <c r="D438" s="188">
        <v>1</v>
      </c>
      <c r="E438" s="188" t="s">
        <v>308</v>
      </c>
      <c r="F438" s="189">
        <f t="shared" ref="F438:F439" si="10">SUM(C438*D438)</f>
        <v>288000</v>
      </c>
      <c r="J438" s="111"/>
      <c r="O438" s="171"/>
    </row>
    <row r="439" spans="1:16" ht="21" customHeight="1">
      <c r="A439" s="191"/>
      <c r="B439" s="87" t="s">
        <v>700</v>
      </c>
      <c r="C439" s="106">
        <v>324400</v>
      </c>
      <c r="D439" s="188">
        <v>11</v>
      </c>
      <c r="E439" s="188" t="s">
        <v>308</v>
      </c>
      <c r="F439" s="189">
        <f t="shared" si="10"/>
        <v>3568400</v>
      </c>
      <c r="G439" s="447"/>
      <c r="O439" s="171"/>
    </row>
    <row r="440" spans="1:16" ht="21" customHeight="1">
      <c r="A440" s="191"/>
      <c r="B440" s="608" t="s">
        <v>595</v>
      </c>
      <c r="C440" s="707">
        <v>230000</v>
      </c>
      <c r="D440" s="708">
        <v>1</v>
      </c>
      <c r="E440" s="343" t="s">
        <v>308</v>
      </c>
      <c r="F440" s="189">
        <f>SUM(C440*D440)</f>
        <v>230000</v>
      </c>
      <c r="G440" s="619">
        <f>SUM(F438:F441)</f>
        <v>6836400</v>
      </c>
      <c r="O440" s="171"/>
    </row>
    <row r="441" spans="1:16" ht="21" customHeight="1">
      <c r="A441" s="191"/>
      <c r="B441" s="608" t="s">
        <v>595</v>
      </c>
      <c r="C441" s="707">
        <v>250000</v>
      </c>
      <c r="D441" s="708">
        <v>11</v>
      </c>
      <c r="E441" s="343" t="s">
        <v>308</v>
      </c>
      <c r="F441" s="189">
        <f>SUM(C441*D441)</f>
        <v>2750000</v>
      </c>
      <c r="G441" s="619"/>
      <c r="O441" s="171"/>
    </row>
    <row r="442" spans="1:16" ht="18" customHeight="1">
      <c r="A442" s="141"/>
      <c r="B442" s="906" t="s">
        <v>349</v>
      </c>
      <c r="C442" s="906"/>
      <c r="D442" s="906"/>
      <c r="E442" s="906"/>
      <c r="F442" s="539">
        <v>6900000</v>
      </c>
      <c r="O442" s="171"/>
    </row>
    <row r="443" spans="1:16" ht="15.75" customHeight="1">
      <c r="A443" s="318" t="s">
        <v>423</v>
      </c>
      <c r="B443" s="906" t="s">
        <v>424</v>
      </c>
      <c r="C443" s="906"/>
      <c r="D443" s="906"/>
      <c r="E443" s="906" t="s">
        <v>308</v>
      </c>
      <c r="F443" s="539">
        <f>SUM(F444:F445)</f>
        <v>150000</v>
      </c>
      <c r="O443" s="171"/>
    </row>
    <row r="444" spans="1:16">
      <c r="A444" s="91"/>
      <c r="B444" s="721" t="s">
        <v>702</v>
      </c>
      <c r="C444" s="709"/>
      <c r="D444" s="352"/>
      <c r="E444" s="352"/>
      <c r="F444" s="189">
        <v>100000</v>
      </c>
      <c r="G444" s="335"/>
      <c r="H444" s="504"/>
      <c r="I444" s="515"/>
      <c r="J444" s="336"/>
      <c r="K444" s="452"/>
    </row>
    <row r="445" spans="1:16">
      <c r="A445" s="91"/>
      <c r="B445" s="721" t="s">
        <v>595</v>
      </c>
      <c r="C445" s="709"/>
      <c r="D445" s="352"/>
      <c r="E445" s="352"/>
      <c r="F445" s="189">
        <v>50000</v>
      </c>
      <c r="G445" s="335"/>
      <c r="H445" s="504"/>
      <c r="I445" s="515"/>
      <c r="J445" s="336"/>
      <c r="K445" s="452"/>
    </row>
    <row r="446" spans="1:16" ht="24.75" customHeight="1">
      <c r="A446" s="114" t="s">
        <v>147</v>
      </c>
      <c r="B446" s="351" t="s">
        <v>342</v>
      </c>
      <c r="C446" s="187">
        <v>0</v>
      </c>
      <c r="D446" s="352">
        <v>0</v>
      </c>
      <c r="E446" s="352" t="s">
        <v>308</v>
      </c>
      <c r="F446" s="189"/>
      <c r="G446" s="335" t="s">
        <v>515</v>
      </c>
      <c r="H446" s="504"/>
      <c r="I446" s="515"/>
      <c r="J446" s="336"/>
      <c r="K446" s="452">
        <v>14791317</v>
      </c>
    </row>
    <row r="447" spans="1:16">
      <c r="A447" s="114" t="s">
        <v>149</v>
      </c>
      <c r="B447" s="906" t="s">
        <v>150</v>
      </c>
      <c r="C447" s="906"/>
      <c r="D447" s="906"/>
      <c r="E447" s="906"/>
      <c r="F447" s="539">
        <f>SUM(F448:F451)</f>
        <v>160000</v>
      </c>
      <c r="G447" s="335"/>
      <c r="H447" s="504"/>
      <c r="I447" s="515"/>
      <c r="J447" s="336"/>
      <c r="K447" s="452"/>
    </row>
    <row r="448" spans="1:16">
      <c r="A448" s="91"/>
      <c r="B448" s="721" t="s">
        <v>694</v>
      </c>
      <c r="C448" s="709">
        <v>4000</v>
      </c>
      <c r="D448" s="352">
        <v>1</v>
      </c>
      <c r="E448" s="352"/>
      <c r="F448" s="189">
        <f>SUM(C448*D448)</f>
        <v>4000</v>
      </c>
      <c r="G448" s="335"/>
      <c r="H448" s="504"/>
      <c r="I448" s="515"/>
      <c r="J448" s="336"/>
      <c r="K448" s="452"/>
    </row>
    <row r="449" spans="1:15">
      <c r="A449" s="91"/>
      <c r="B449" s="721" t="s">
        <v>695</v>
      </c>
      <c r="C449" s="709">
        <v>5000</v>
      </c>
      <c r="D449" s="352">
        <v>11</v>
      </c>
      <c r="E449" s="352"/>
      <c r="F449" s="189">
        <f>SUM(C449*D449)</f>
        <v>55000</v>
      </c>
      <c r="G449" s="335"/>
      <c r="H449" s="504"/>
      <c r="I449" s="515"/>
      <c r="J449" s="336"/>
      <c r="K449" s="452"/>
    </row>
    <row r="450" spans="1:15">
      <c r="A450" s="91"/>
      <c r="B450" s="721" t="s">
        <v>701</v>
      </c>
      <c r="C450" s="709"/>
      <c r="D450" s="352"/>
      <c r="E450" s="352"/>
      <c r="F450" s="189">
        <v>12000</v>
      </c>
      <c r="G450" s="335"/>
      <c r="H450" s="504"/>
      <c r="I450" s="515"/>
      <c r="J450" s="336"/>
      <c r="K450" s="452"/>
    </row>
    <row r="451" spans="1:15">
      <c r="A451" s="91"/>
      <c r="B451" s="721" t="s">
        <v>550</v>
      </c>
      <c r="C451" s="709">
        <v>12000</v>
      </c>
      <c r="D451" s="352">
        <v>1</v>
      </c>
      <c r="E451" s="352"/>
      <c r="F451" s="189">
        <v>89000</v>
      </c>
      <c r="G451" s="335"/>
      <c r="H451" s="504"/>
      <c r="I451" s="515"/>
      <c r="J451" s="336"/>
      <c r="K451" s="452"/>
    </row>
    <row r="452" spans="1:15" ht="21" customHeight="1">
      <c r="A452" s="907" t="s">
        <v>153</v>
      </c>
      <c r="B452" s="914" t="s">
        <v>154</v>
      </c>
      <c r="C452" s="710"/>
      <c r="D452" s="711"/>
      <c r="E452" s="711"/>
      <c r="F452" s="539">
        <f>SUM(F453:F454)</f>
        <v>360000</v>
      </c>
      <c r="G452" s="335"/>
      <c r="H452" s="504"/>
      <c r="I452" s="515"/>
      <c r="J452" s="336"/>
      <c r="K452" s="452"/>
    </row>
    <row r="453" spans="1:15">
      <c r="A453" s="899"/>
      <c r="B453" s="915"/>
      <c r="C453" s="709">
        <v>60000</v>
      </c>
      <c r="D453" s="352">
        <v>1</v>
      </c>
      <c r="E453" s="352"/>
      <c r="F453" s="189">
        <f>SUM(C453*D453)</f>
        <v>60000</v>
      </c>
      <c r="G453" s="335"/>
      <c r="H453" s="504"/>
      <c r="I453" s="515"/>
      <c r="J453" s="336"/>
      <c r="K453" s="452"/>
    </row>
    <row r="454" spans="1:15">
      <c r="A454" s="908"/>
      <c r="B454" s="916"/>
      <c r="C454" s="709">
        <v>25000</v>
      </c>
      <c r="D454" s="352">
        <v>12</v>
      </c>
      <c r="E454" s="352"/>
      <c r="F454" s="189">
        <f>SUM(C454*D454)</f>
        <v>300000</v>
      </c>
      <c r="G454" s="335"/>
      <c r="H454" s="504"/>
      <c r="I454" s="515"/>
      <c r="J454" s="336"/>
      <c r="K454" s="452"/>
    </row>
    <row r="455" spans="1:15" ht="17.100000000000001" customHeight="1">
      <c r="A455" s="101" t="s">
        <v>347</v>
      </c>
      <c r="B455" s="609" t="s">
        <v>158</v>
      </c>
      <c r="C455" s="143">
        <f>SUM(F442,F443,F446,F447,F452)</f>
        <v>7570000</v>
      </c>
      <c r="D455" s="193">
        <v>0.13</v>
      </c>
      <c r="E455" s="106">
        <f>C455*D455</f>
        <v>984100</v>
      </c>
      <c r="F455" s="189">
        <v>1000000</v>
      </c>
      <c r="O455" s="171"/>
    </row>
    <row r="456" spans="1:15" ht="17.100000000000001" customHeight="1">
      <c r="A456" s="101"/>
      <c r="B456" s="609" t="s">
        <v>620</v>
      </c>
      <c r="C456" s="668">
        <f>SUM(F443)</f>
        <v>150000</v>
      </c>
      <c r="D456" s="669">
        <v>0.15</v>
      </c>
      <c r="E456" s="106">
        <f>C456*D456</f>
        <v>22500</v>
      </c>
      <c r="F456" s="189">
        <f t="shared" ref="F456" si="11">SUM(C456*D456)</f>
        <v>22500</v>
      </c>
      <c r="G456" s="203">
        <f>SUM(F455:F456)</f>
        <v>1022500</v>
      </c>
      <c r="O456" s="171"/>
    </row>
    <row r="457" spans="1:15" ht="17.100000000000001" customHeight="1">
      <c r="A457" s="318"/>
      <c r="B457" s="906" t="s">
        <v>315</v>
      </c>
      <c r="C457" s="906"/>
      <c r="D457" s="906"/>
      <c r="E457" s="906"/>
      <c r="F457" s="190">
        <v>1100000</v>
      </c>
      <c r="H457" s="510"/>
      <c r="J457" s="111"/>
      <c r="O457" s="171"/>
    </row>
    <row r="458" spans="1:15" ht="17.100000000000001" customHeight="1">
      <c r="A458" s="318" t="s">
        <v>169</v>
      </c>
      <c r="B458" s="881" t="s">
        <v>170</v>
      </c>
      <c r="C458" s="881"/>
      <c r="D458" s="881"/>
      <c r="E458" s="881"/>
      <c r="F458" s="881"/>
      <c r="I458" s="77"/>
      <c r="M458" s="172"/>
      <c r="N458" s="39"/>
      <c r="O458" s="173"/>
    </row>
    <row r="459" spans="1:15" ht="17.100000000000001" customHeight="1">
      <c r="A459" s="318"/>
      <c r="B459" s="87" t="s">
        <v>375</v>
      </c>
      <c r="C459" s="112"/>
      <c r="D459" s="265">
        <v>0.27</v>
      </c>
      <c r="E459" s="112"/>
      <c r="F459" s="228">
        <v>500000</v>
      </c>
      <c r="I459" s="77">
        <f>SUM(F459*D459)</f>
        <v>135000</v>
      </c>
      <c r="M459" s="172"/>
      <c r="N459" s="39"/>
      <c r="O459" s="173"/>
    </row>
    <row r="460" spans="1:15" ht="17.100000000000001" customHeight="1">
      <c r="A460" s="318"/>
      <c r="B460" s="87" t="s">
        <v>553</v>
      </c>
      <c r="C460" s="112">
        <v>30000</v>
      </c>
      <c r="D460" s="265">
        <v>0.27</v>
      </c>
      <c r="E460" s="112">
        <v>2</v>
      </c>
      <c r="F460" s="228">
        <v>60000</v>
      </c>
      <c r="I460" s="77">
        <f>SUM(F460*D460)</f>
        <v>16200.000000000002</v>
      </c>
      <c r="M460" s="172"/>
      <c r="N460" s="39"/>
      <c r="O460" s="173"/>
    </row>
    <row r="461" spans="1:15" ht="17.100000000000001" customHeight="1">
      <c r="A461" s="318"/>
      <c r="B461" s="87" t="s">
        <v>621</v>
      </c>
      <c r="C461" s="112"/>
      <c r="D461" s="265">
        <v>0.27</v>
      </c>
      <c r="E461" s="112"/>
      <c r="F461" s="228">
        <v>156973</v>
      </c>
      <c r="I461" s="77">
        <f>SUM(F461*D461)</f>
        <v>42382.710000000006</v>
      </c>
      <c r="M461" s="172"/>
      <c r="N461" s="39"/>
      <c r="O461" s="173"/>
    </row>
    <row r="462" spans="1:15" ht="17.100000000000001" customHeight="1">
      <c r="A462" s="318"/>
      <c r="B462" s="87" t="s">
        <v>591</v>
      </c>
      <c r="C462" s="112"/>
      <c r="D462" s="265">
        <v>0.27</v>
      </c>
      <c r="E462" s="112"/>
      <c r="F462" s="228">
        <v>300000</v>
      </c>
      <c r="I462" s="77">
        <f>SUM(F462*D462)</f>
        <v>81000</v>
      </c>
      <c r="M462" s="172"/>
      <c r="N462" s="39"/>
      <c r="O462" s="173"/>
    </row>
    <row r="463" spans="1:15" ht="17.100000000000001" customHeight="1">
      <c r="A463" s="318"/>
      <c r="B463" s="880" t="s">
        <v>319</v>
      </c>
      <c r="C463" s="880"/>
      <c r="D463" s="880"/>
      <c r="E463" s="880"/>
      <c r="F463" s="190">
        <f>SUM(F459:F462)</f>
        <v>1016973</v>
      </c>
      <c r="I463" s="77"/>
      <c r="M463" s="172"/>
      <c r="N463" s="39"/>
      <c r="O463" s="173"/>
    </row>
    <row r="464" spans="1:15" ht="17.100000000000001" customHeight="1">
      <c r="A464" s="318" t="s">
        <v>186</v>
      </c>
      <c r="B464" s="317" t="s">
        <v>287</v>
      </c>
      <c r="C464" s="317"/>
      <c r="D464" s="197">
        <v>0.27</v>
      </c>
      <c r="E464" s="317"/>
      <c r="F464" s="190">
        <v>300000</v>
      </c>
      <c r="I464" s="77">
        <f t="shared" ref="I464:I472" si="12">SUM(F464*D464)</f>
        <v>81000</v>
      </c>
      <c r="M464" s="172"/>
      <c r="N464" s="39"/>
      <c r="O464" s="173"/>
    </row>
    <row r="465" spans="1:10" ht="17.100000000000001" customHeight="1">
      <c r="A465" s="114" t="s">
        <v>194</v>
      </c>
      <c r="B465" s="87" t="s">
        <v>195</v>
      </c>
      <c r="C465" s="106"/>
      <c r="D465" s="198">
        <v>0.27</v>
      </c>
      <c r="E465" s="106"/>
      <c r="F465" s="259">
        <v>18000000</v>
      </c>
      <c r="G465" s="231"/>
      <c r="I465" s="77">
        <f t="shared" si="12"/>
        <v>4860000</v>
      </c>
    </row>
    <row r="466" spans="1:10" ht="17.100000000000001" customHeight="1">
      <c r="A466" s="114" t="s">
        <v>198</v>
      </c>
      <c r="B466" s="880" t="s">
        <v>199</v>
      </c>
      <c r="C466" s="880"/>
      <c r="D466" s="880"/>
      <c r="E466" s="880"/>
      <c r="F466" s="190">
        <f>SUM(F467:F469)</f>
        <v>150000</v>
      </c>
      <c r="G466" s="231"/>
      <c r="I466" s="77"/>
    </row>
    <row r="467" spans="1:10" ht="17.100000000000001" customHeight="1">
      <c r="A467" s="114"/>
      <c r="B467" s="87" t="s">
        <v>623</v>
      </c>
      <c r="C467" s="106"/>
      <c r="D467" s="198">
        <v>0.27</v>
      </c>
      <c r="E467" s="106"/>
      <c r="F467" s="189"/>
      <c r="G467" s="231"/>
      <c r="I467" s="77">
        <f t="shared" si="12"/>
        <v>0</v>
      </c>
    </row>
    <row r="468" spans="1:10" ht="17.100000000000001" customHeight="1">
      <c r="A468" s="114"/>
      <c r="B468" s="87" t="s">
        <v>622</v>
      </c>
      <c r="C468" s="106"/>
      <c r="D468" s="198" t="s">
        <v>561</v>
      </c>
      <c r="E468" s="106"/>
      <c r="F468" s="189">
        <v>50000</v>
      </c>
      <c r="G468" s="231"/>
      <c r="I468" s="77"/>
    </row>
    <row r="469" spans="1:10" ht="17.100000000000001" customHeight="1">
      <c r="A469" s="114"/>
      <c r="B469" s="87" t="s">
        <v>592</v>
      </c>
      <c r="C469" s="106"/>
      <c r="D469" s="198">
        <v>0.27</v>
      </c>
      <c r="E469" s="106"/>
      <c r="F469" s="189">
        <v>100000</v>
      </c>
      <c r="G469" s="231"/>
      <c r="I469" s="77">
        <f t="shared" si="12"/>
        <v>27000</v>
      </c>
    </row>
    <row r="470" spans="1:10" ht="17.100000000000001" customHeight="1">
      <c r="A470" s="114" t="s">
        <v>200</v>
      </c>
      <c r="B470" s="880" t="s">
        <v>201</v>
      </c>
      <c r="C470" s="880"/>
      <c r="D470" s="880">
        <v>0.27</v>
      </c>
      <c r="E470" s="880"/>
      <c r="F470" s="190">
        <f>SUM(F471)</f>
        <v>25000</v>
      </c>
      <c r="G470" s="231"/>
      <c r="I470" s="77">
        <f t="shared" si="12"/>
        <v>6750</v>
      </c>
    </row>
    <row r="471" spans="1:10" ht="17.100000000000001" customHeight="1">
      <c r="A471" s="114"/>
      <c r="B471" s="87" t="s">
        <v>624</v>
      </c>
      <c r="C471" s="106"/>
      <c r="D471" s="198" t="s">
        <v>561</v>
      </c>
      <c r="E471" s="106"/>
      <c r="F471" s="259">
        <v>25000</v>
      </c>
      <c r="G471" s="231"/>
      <c r="I471" s="77"/>
    </row>
    <row r="472" spans="1:10" ht="18" customHeight="1">
      <c r="A472" s="114" t="s">
        <v>204</v>
      </c>
      <c r="B472" s="275" t="s">
        <v>205</v>
      </c>
      <c r="C472" s="276"/>
      <c r="D472" s="493">
        <v>0.27</v>
      </c>
      <c r="E472" s="276"/>
      <c r="F472" s="190">
        <v>50000</v>
      </c>
      <c r="I472" s="77">
        <f t="shared" si="12"/>
        <v>13500</v>
      </c>
    </row>
    <row r="473" spans="1:10" ht="20.25" customHeight="1">
      <c r="A473" s="86" t="s">
        <v>212</v>
      </c>
      <c r="B473" s="880" t="s">
        <v>270</v>
      </c>
      <c r="C473" s="880"/>
      <c r="D473" s="880"/>
      <c r="E473" s="880">
        <f>C473*D473</f>
        <v>0</v>
      </c>
      <c r="F473" s="190">
        <v>5330000</v>
      </c>
      <c r="G473" s="212"/>
      <c r="H473" s="510"/>
      <c r="I473" s="77">
        <f>SUM(I457:I472)</f>
        <v>5262832.71</v>
      </c>
      <c r="J473" s="111"/>
    </row>
    <row r="474" spans="1:10" ht="19.5" customHeight="1">
      <c r="A474" s="86" t="s">
        <v>293</v>
      </c>
      <c r="B474" s="87" t="s">
        <v>219</v>
      </c>
      <c r="C474" s="112"/>
      <c r="D474" s="198">
        <v>0.27</v>
      </c>
      <c r="E474" s="112"/>
      <c r="F474" s="228">
        <v>30000</v>
      </c>
      <c r="I474" s="77">
        <f>SUM(D474*F474)</f>
        <v>8100.0000000000009</v>
      </c>
    </row>
    <row r="475" spans="1:10" ht="18.75" customHeight="1">
      <c r="A475" s="91" t="s">
        <v>246</v>
      </c>
      <c r="B475" s="92" t="s">
        <v>350</v>
      </c>
      <c r="C475" s="350"/>
      <c r="D475" s="95"/>
      <c r="E475" s="95"/>
      <c r="F475" s="329">
        <v>0</v>
      </c>
      <c r="I475" s="77">
        <f>SUM(I473:I474)</f>
        <v>5270932.71</v>
      </c>
    </row>
    <row r="476" spans="1:10" ht="20.25" customHeight="1">
      <c r="A476" s="91" t="s">
        <v>248</v>
      </c>
      <c r="B476" s="92" t="s">
        <v>275</v>
      </c>
      <c r="C476" s="350"/>
      <c r="D476" s="207">
        <v>0.27</v>
      </c>
      <c r="E476" s="95">
        <f>C476*D476</f>
        <v>0</v>
      </c>
      <c r="F476" s="329">
        <f>C476*D476</f>
        <v>0</v>
      </c>
      <c r="I476" s="77"/>
    </row>
    <row r="477" spans="1:10" ht="20.25" customHeight="1">
      <c r="A477" s="91" t="s">
        <v>296</v>
      </c>
      <c r="B477" s="92" t="s">
        <v>351</v>
      </c>
      <c r="C477" s="350"/>
      <c r="D477" s="207"/>
      <c r="E477" s="95"/>
      <c r="F477" s="329">
        <v>0</v>
      </c>
      <c r="I477" s="77"/>
    </row>
    <row r="478" spans="1:10" ht="21.75" thickBot="1">
      <c r="A478" s="91" t="s">
        <v>297</v>
      </c>
      <c r="B478" s="92" t="s">
        <v>276</v>
      </c>
      <c r="C478" s="350"/>
      <c r="D478" s="207"/>
      <c r="E478" s="95"/>
      <c r="F478" s="329">
        <v>0</v>
      </c>
      <c r="I478" s="77"/>
    </row>
    <row r="479" spans="1:10" ht="23.25" customHeight="1" thickBot="1">
      <c r="A479" s="894" t="s">
        <v>278</v>
      </c>
      <c r="B479" s="894"/>
      <c r="C479" s="894"/>
      <c r="D479" s="894"/>
      <c r="E479" s="894"/>
      <c r="F479" s="211">
        <f>F442+F443+F446+F457+F463+F465+F472+F473+F470+F447+F466+F464+F452</f>
        <v>33541973</v>
      </c>
      <c r="G479" s="203">
        <f>SUM(F479-'Kiadások COFOG szerint'!F271)</f>
        <v>0</v>
      </c>
    </row>
    <row r="480" spans="1:10" ht="24" hidden="1" customHeight="1" thickBot="1">
      <c r="A480" s="900" t="s">
        <v>450</v>
      </c>
      <c r="B480" s="900"/>
      <c r="C480" s="900"/>
      <c r="D480" s="900"/>
      <c r="E480" s="900"/>
      <c r="F480" s="900"/>
    </row>
    <row r="481" spans="1:12" ht="22.5" hidden="1" customHeight="1" thickBot="1">
      <c r="A481" s="886" t="s">
        <v>46</v>
      </c>
      <c r="B481" s="888" t="s">
        <v>47</v>
      </c>
      <c r="C481" s="889">
        <v>2022</v>
      </c>
      <c r="D481" s="889"/>
      <c r="E481" s="889"/>
      <c r="F481" s="889"/>
      <c r="L481" s="146"/>
    </row>
    <row r="482" spans="1:12" ht="24.75" hidden="1" customHeight="1" thickBot="1">
      <c r="A482" s="886"/>
      <c r="B482" s="888"/>
      <c r="C482" s="890"/>
      <c r="D482" s="890"/>
      <c r="E482" s="890"/>
      <c r="F482" s="185" t="s">
        <v>509</v>
      </c>
    </row>
    <row r="483" spans="1:12" ht="26.25" hidden="1" customHeight="1" thickBot="1">
      <c r="A483" s="214" t="s">
        <v>230</v>
      </c>
      <c r="B483" s="421" t="s">
        <v>271</v>
      </c>
      <c r="C483" s="901" t="s">
        <v>352</v>
      </c>
      <c r="D483" s="901"/>
      <c r="E483" s="901"/>
      <c r="F483" s="422">
        <v>0</v>
      </c>
      <c r="G483" s="348"/>
      <c r="H483" s="511"/>
      <c r="J483" s="165"/>
    </row>
    <row r="484" spans="1:12" ht="24" hidden="1" customHeight="1" thickBot="1">
      <c r="A484" s="902" t="s">
        <v>278</v>
      </c>
      <c r="B484" s="902"/>
      <c r="C484" s="902"/>
      <c r="D484" s="902"/>
      <c r="E484" s="902"/>
      <c r="F484" s="326">
        <f>SUM(F483:F483)</f>
        <v>0</v>
      </c>
    </row>
    <row r="485" spans="1:12" ht="24" customHeight="1" thickBot="1">
      <c r="A485" s="900" t="s">
        <v>451</v>
      </c>
      <c r="B485" s="900"/>
      <c r="C485" s="900"/>
      <c r="D485" s="900"/>
      <c r="E485" s="900"/>
      <c r="F485" s="900"/>
    </row>
    <row r="486" spans="1:12" ht="24" customHeight="1" thickBot="1">
      <c r="A486" s="886" t="s">
        <v>46</v>
      </c>
      <c r="B486" s="888" t="s">
        <v>47</v>
      </c>
      <c r="C486" s="889">
        <v>2023</v>
      </c>
      <c r="D486" s="889"/>
      <c r="E486" s="889"/>
      <c r="F486" s="889"/>
    </row>
    <row r="487" spans="1:12" ht="24" customHeight="1" thickBot="1">
      <c r="A487" s="886"/>
      <c r="B487" s="888"/>
      <c r="C487" s="890"/>
      <c r="D487" s="890"/>
      <c r="E487" s="890"/>
      <c r="F487" s="185" t="s">
        <v>509</v>
      </c>
    </row>
    <row r="488" spans="1:12" ht="24" customHeight="1">
      <c r="A488" s="355" t="s">
        <v>194</v>
      </c>
      <c r="B488" s="353" t="s">
        <v>355</v>
      </c>
      <c r="C488" s="903"/>
      <c r="D488" s="903"/>
      <c r="E488" s="903"/>
      <c r="F488" s="354">
        <v>1800000</v>
      </c>
      <c r="H488" s="618">
        <f>SUM(F488*0.27)</f>
        <v>486000.00000000006</v>
      </c>
    </row>
    <row r="489" spans="1:12" ht="24" customHeight="1" thickBot="1">
      <c r="A489" s="232" t="s">
        <v>212</v>
      </c>
      <c r="B489" s="142" t="s">
        <v>270</v>
      </c>
      <c r="C489" s="904"/>
      <c r="D489" s="904"/>
      <c r="E489" s="904"/>
      <c r="F489" s="359">
        <v>486000</v>
      </c>
    </row>
    <row r="490" spans="1:12" ht="24" customHeight="1" thickBot="1">
      <c r="A490" s="894" t="s">
        <v>278</v>
      </c>
      <c r="B490" s="894"/>
      <c r="C490" s="894"/>
      <c r="D490" s="894"/>
      <c r="E490" s="894"/>
      <c r="F490" s="211">
        <f>SUM(F488:F489)</f>
        <v>2286000</v>
      </c>
      <c r="G490" s="203">
        <f>SUM(F490-'Kiadások COFOG szerint'!F285)</f>
        <v>0</v>
      </c>
    </row>
    <row r="491" spans="1:12" ht="23.25" hidden="1" customHeight="1" thickBot="1">
      <c r="A491" s="884" t="s">
        <v>138</v>
      </c>
      <c r="B491" s="884"/>
      <c r="C491" s="884"/>
      <c r="D491" s="884"/>
      <c r="E491" s="884"/>
      <c r="F491" s="884"/>
    </row>
    <row r="492" spans="1:12" ht="16.5" hidden="1" customHeight="1" thickBot="1">
      <c r="A492" s="886" t="s">
        <v>46</v>
      </c>
      <c r="B492" s="887" t="s">
        <v>47</v>
      </c>
      <c r="C492" s="889">
        <v>2021</v>
      </c>
      <c r="D492" s="889"/>
      <c r="E492" s="889"/>
      <c r="F492" s="889"/>
    </row>
    <row r="493" spans="1:12" ht="25.5" hidden="1" customHeight="1" thickBot="1">
      <c r="A493" s="886"/>
      <c r="B493" s="888"/>
      <c r="C493" s="890"/>
      <c r="D493" s="890"/>
      <c r="E493" s="890"/>
      <c r="F493" s="185" t="s">
        <v>509</v>
      </c>
    </row>
    <row r="494" spans="1:12" ht="25.5" hidden="1" customHeight="1" thickBot="1">
      <c r="A494" s="233" t="s">
        <v>220</v>
      </c>
      <c r="B494" s="83" t="s">
        <v>353</v>
      </c>
      <c r="C494" s="911" t="s">
        <v>354</v>
      </c>
      <c r="D494" s="911"/>
      <c r="E494" s="911"/>
      <c r="F494" s="425">
        <v>0</v>
      </c>
    </row>
    <row r="495" spans="1:12" ht="21" hidden="1" customHeight="1" thickBot="1">
      <c r="A495" s="883" t="s">
        <v>278</v>
      </c>
      <c r="B495" s="883"/>
      <c r="C495" s="883"/>
      <c r="D495" s="883"/>
      <c r="E495" s="883"/>
      <c r="F495" s="211">
        <f>SUM(F494:F494)</f>
        <v>0</v>
      </c>
    </row>
    <row r="496" spans="1:12" ht="22.5" hidden="1" customHeight="1" thickBot="1">
      <c r="A496" s="900" t="s">
        <v>298</v>
      </c>
      <c r="B496" s="900"/>
      <c r="C496" s="900"/>
      <c r="D496" s="900"/>
      <c r="E496" s="900"/>
      <c r="F496" s="900"/>
    </row>
    <row r="497" spans="1:6" ht="22.5" hidden="1" customHeight="1" thickBot="1">
      <c r="A497" s="909" t="s">
        <v>46</v>
      </c>
      <c r="B497" s="910" t="s">
        <v>47</v>
      </c>
      <c r="C497" s="889">
        <v>2021</v>
      </c>
      <c r="D497" s="889"/>
      <c r="E497" s="889"/>
      <c r="F497" s="889"/>
    </row>
    <row r="498" spans="1:6" ht="22.5" hidden="1" customHeight="1" thickBot="1">
      <c r="A498" s="909"/>
      <c r="B498" s="910"/>
      <c r="C498" s="890"/>
      <c r="D498" s="890"/>
      <c r="E498" s="890"/>
      <c r="F498" s="185" t="s">
        <v>509</v>
      </c>
    </row>
    <row r="499" spans="1:6" ht="22.5" hidden="1" customHeight="1">
      <c r="A499" s="145" t="s">
        <v>194</v>
      </c>
      <c r="B499" s="179" t="s">
        <v>355</v>
      </c>
      <c r="C499" s="357"/>
      <c r="D499" s="194">
        <v>0.27</v>
      </c>
      <c r="E499" s="357"/>
      <c r="F499" s="259">
        <v>0</v>
      </c>
    </row>
    <row r="500" spans="1:6" ht="22.5" hidden="1" customHeight="1">
      <c r="A500" s="145" t="s">
        <v>212</v>
      </c>
      <c r="B500" s="179" t="s">
        <v>270</v>
      </c>
      <c r="C500" s="358">
        <f>F499</f>
        <v>0</v>
      </c>
      <c r="D500" s="194">
        <v>0.27</v>
      </c>
      <c r="E500" s="357"/>
      <c r="F500" s="259">
        <f>C500*D500</f>
        <v>0</v>
      </c>
    </row>
    <row r="501" spans="1:6" ht="22.5" hidden="1" customHeight="1">
      <c r="A501" s="883" t="s">
        <v>278</v>
      </c>
      <c r="B501" s="883"/>
      <c r="C501" s="883"/>
      <c r="D501" s="883"/>
      <c r="E501" s="883"/>
      <c r="F501" s="211">
        <f>SUM(F499:F500)</f>
        <v>0</v>
      </c>
    </row>
    <row r="502" spans="1:6" ht="24.75" customHeight="1" thickBot="1">
      <c r="A502" s="884" t="s">
        <v>454</v>
      </c>
      <c r="B502" s="884"/>
      <c r="C502" s="884"/>
      <c r="D502" s="884"/>
      <c r="E502" s="884"/>
      <c r="F502" s="884"/>
    </row>
    <row r="503" spans="1:6" ht="15.75" customHeight="1" thickBot="1">
      <c r="A503" s="885" t="s">
        <v>46</v>
      </c>
      <c r="B503" s="887" t="s">
        <v>47</v>
      </c>
      <c r="C503" s="889">
        <v>2023</v>
      </c>
      <c r="D503" s="889"/>
      <c r="E503" s="889"/>
      <c r="F503" s="889"/>
    </row>
    <row r="504" spans="1:6" ht="24" customHeight="1" thickBot="1">
      <c r="A504" s="886"/>
      <c r="B504" s="888"/>
      <c r="C504" s="890"/>
      <c r="D504" s="890"/>
      <c r="E504" s="890"/>
      <c r="F504" s="185" t="s">
        <v>509</v>
      </c>
    </row>
    <row r="505" spans="1:6" ht="21" customHeight="1">
      <c r="A505" s="436" t="s">
        <v>503</v>
      </c>
      <c r="B505" s="275" t="s">
        <v>414</v>
      </c>
      <c r="C505" s="276" t="s">
        <v>504</v>
      </c>
      <c r="D505" s="493"/>
      <c r="E505" s="276"/>
      <c r="F505" s="190"/>
    </row>
    <row r="506" spans="1:6" ht="21" customHeight="1">
      <c r="A506" s="82" t="s">
        <v>423</v>
      </c>
      <c r="B506" s="275" t="s">
        <v>482</v>
      </c>
      <c r="C506" s="276"/>
      <c r="D506" s="493"/>
      <c r="E506" s="276">
        <v>50000</v>
      </c>
      <c r="F506" s="190"/>
    </row>
    <row r="507" spans="1:6" ht="21" customHeight="1">
      <c r="A507" s="489" t="s">
        <v>147</v>
      </c>
      <c r="B507" s="275" t="s">
        <v>148</v>
      </c>
      <c r="C507" s="276" t="s">
        <v>551</v>
      </c>
      <c r="D507" s="493"/>
      <c r="E507" s="276">
        <v>12000</v>
      </c>
      <c r="F507" s="190"/>
    </row>
    <row r="508" spans="1:6" ht="21" customHeight="1">
      <c r="A508" s="489" t="s">
        <v>153</v>
      </c>
      <c r="B508" s="275" t="s">
        <v>633</v>
      </c>
      <c r="C508" s="276"/>
      <c r="D508" s="493"/>
      <c r="E508" s="276"/>
      <c r="F508" s="190">
        <f>SUM(F509)</f>
        <v>1980000</v>
      </c>
    </row>
    <row r="509" spans="1:6">
      <c r="A509" s="489"/>
      <c r="B509" s="490"/>
      <c r="C509" s="491" t="s">
        <v>634</v>
      </c>
      <c r="D509" s="492">
        <v>12</v>
      </c>
      <c r="E509" s="492">
        <v>165000</v>
      </c>
      <c r="F509" s="691">
        <f>SUM(D509*E509)</f>
        <v>1980000</v>
      </c>
    </row>
    <row r="510" spans="1:6">
      <c r="A510" s="489" t="s">
        <v>347</v>
      </c>
      <c r="B510" s="275" t="s">
        <v>628</v>
      </c>
      <c r="C510" s="276"/>
      <c r="D510" s="493"/>
      <c r="E510" s="276"/>
      <c r="F510" s="190">
        <f>SUM(F511:F512)</f>
        <v>260000</v>
      </c>
    </row>
    <row r="511" spans="1:6">
      <c r="B511" s="435" t="s">
        <v>158</v>
      </c>
      <c r="C511" s="488">
        <f>SUM(F508+F506+F507)</f>
        <v>1980000</v>
      </c>
      <c r="D511" s="451">
        <v>0.13</v>
      </c>
      <c r="E511" s="488">
        <f>SUM(C511*D511)</f>
        <v>257400</v>
      </c>
      <c r="F511" s="330">
        <v>260000</v>
      </c>
    </row>
    <row r="512" spans="1:6">
      <c r="A512" s="489"/>
      <c r="B512" s="490" t="s">
        <v>626</v>
      </c>
      <c r="C512" s="492">
        <f>SUM(F506)</f>
        <v>0</v>
      </c>
      <c r="D512" s="674">
        <v>0.15</v>
      </c>
      <c r="E512" s="492">
        <f>SUM(C512*D512)</f>
        <v>0</v>
      </c>
      <c r="F512" s="691"/>
    </row>
    <row r="513" spans="1:15" ht="18.75" customHeight="1">
      <c r="A513" s="114" t="s">
        <v>200</v>
      </c>
      <c r="B513" s="275" t="s">
        <v>201</v>
      </c>
      <c r="C513" s="276"/>
      <c r="D513" s="493"/>
      <c r="E513" s="276"/>
      <c r="F513" s="190"/>
    </row>
    <row r="514" spans="1:15" ht="26.25" customHeight="1" thickBot="1">
      <c r="A514" s="169" t="s">
        <v>230</v>
      </c>
      <c r="B514" s="275" t="s">
        <v>271</v>
      </c>
      <c r="C514" s="891" t="s">
        <v>356</v>
      </c>
      <c r="D514" s="892"/>
      <c r="E514" s="893"/>
      <c r="F514" s="190">
        <v>0</v>
      </c>
      <c r="G514" s="426" t="s">
        <v>502</v>
      </c>
      <c r="H514" s="512"/>
      <c r="I514" s="519"/>
      <c r="J514" s="266"/>
      <c r="K514" s="234"/>
      <c r="L514" s="235"/>
      <c r="M514" s="234"/>
    </row>
    <row r="515" spans="1:15" ht="21.75" customHeight="1" thickBot="1">
      <c r="A515" s="894" t="s">
        <v>278</v>
      </c>
      <c r="B515" s="894"/>
      <c r="C515" s="894"/>
      <c r="D515" s="894"/>
      <c r="E515" s="894"/>
      <c r="F515" s="211">
        <f>SUM(F505+F506+F507+F508+F510+F513+F514)</f>
        <v>2240000</v>
      </c>
      <c r="G515" s="203">
        <f>SUM(F515-'Kiadások COFOG szerint'!F307)</f>
        <v>0</v>
      </c>
    </row>
    <row r="516" spans="1:15" ht="24.75" customHeight="1" thickBot="1">
      <c r="A516" s="895" t="s">
        <v>301</v>
      </c>
      <c r="B516" s="895"/>
      <c r="C516" s="884"/>
      <c r="D516" s="884"/>
      <c r="E516" s="884"/>
      <c r="F516" s="884"/>
    </row>
    <row r="517" spans="1:15" ht="18.75" customHeight="1">
      <c r="A517" s="897" t="s">
        <v>46</v>
      </c>
      <c r="B517" s="897" t="s">
        <v>47</v>
      </c>
      <c r="C517" s="889">
        <v>2023</v>
      </c>
      <c r="D517" s="889"/>
      <c r="E517" s="889"/>
      <c r="F517" s="889"/>
      <c r="H517" s="859" t="s">
        <v>552</v>
      </c>
      <c r="I517" s="859"/>
      <c r="J517" s="119">
        <f>SUM('Bevételek COFOG szerint 2023'!F65)</f>
        <v>7997000</v>
      </c>
    </row>
    <row r="518" spans="1:15" ht="25.5" customHeight="1" thickBot="1">
      <c r="A518" s="897"/>
      <c r="B518" s="897"/>
      <c r="C518" s="890"/>
      <c r="D518" s="890"/>
      <c r="E518" s="890"/>
      <c r="F518" s="185" t="s">
        <v>509</v>
      </c>
    </row>
    <row r="519" spans="1:15" ht="25.5" customHeight="1">
      <c r="A519" s="363" t="s">
        <v>169</v>
      </c>
      <c r="B519" s="366" t="s">
        <v>455</v>
      </c>
      <c r="C519" s="362" t="s">
        <v>677</v>
      </c>
      <c r="D519" s="360"/>
      <c r="E519" s="360"/>
      <c r="F519" s="330">
        <v>2000000</v>
      </c>
      <c r="G519" s="203"/>
      <c r="H519" s="499"/>
      <c r="I519" s="520" t="s">
        <v>713</v>
      </c>
      <c r="J519" s="724">
        <v>759000</v>
      </c>
    </row>
    <row r="520" spans="1:15" ht="25.5" customHeight="1">
      <c r="A520" s="152" t="s">
        <v>357</v>
      </c>
      <c r="B520" s="236" t="s">
        <v>376</v>
      </c>
      <c r="C520" s="237"/>
      <c r="D520" s="237"/>
      <c r="E520" s="237"/>
      <c r="F520" s="238">
        <v>300000</v>
      </c>
      <c r="G520" s="203"/>
      <c r="J520" s="725"/>
    </row>
    <row r="521" spans="1:15" ht="25.5" customHeight="1">
      <c r="A521" s="152" t="s">
        <v>212</v>
      </c>
      <c r="B521" s="236" t="s">
        <v>270</v>
      </c>
      <c r="C521" s="303">
        <f>F520+F519</f>
        <v>2300000</v>
      </c>
      <c r="D521" s="364">
        <v>0.27</v>
      </c>
      <c r="E521" s="365">
        <f>C521*D521</f>
        <v>621000</v>
      </c>
      <c r="F521" s="238">
        <v>600000</v>
      </c>
      <c r="G521" s="203"/>
      <c r="J521" s="725"/>
    </row>
    <row r="522" spans="1:15" ht="21.75" customHeight="1" thickBot="1">
      <c r="A522" s="152" t="s">
        <v>456</v>
      </c>
      <c r="B522" s="236" t="s">
        <v>463</v>
      </c>
      <c r="C522" s="303"/>
      <c r="D522" s="364"/>
      <c r="E522" s="365"/>
      <c r="F522" s="238"/>
      <c r="G522" s="203"/>
      <c r="I522" s="520" t="s">
        <v>714</v>
      </c>
      <c r="J522" s="726">
        <v>204930</v>
      </c>
    </row>
    <row r="523" spans="1:15" ht="21" customHeight="1">
      <c r="A523" s="898" t="s">
        <v>358</v>
      </c>
      <c r="B523" s="367" t="s">
        <v>359</v>
      </c>
      <c r="C523" s="368"/>
      <c r="D523" s="369"/>
      <c r="E523" s="370"/>
      <c r="F523" s="371">
        <v>6300000</v>
      </c>
      <c r="G523" s="203"/>
      <c r="J523" s="725">
        <f>SUM(J519:J522)</f>
        <v>963930</v>
      </c>
      <c r="M523" s="239"/>
      <c r="N523" s="183"/>
      <c r="O523" s="240"/>
    </row>
    <row r="524" spans="1:15" ht="36.75" customHeight="1" thickBot="1">
      <c r="A524" s="899"/>
      <c r="B524" s="372" t="s">
        <v>461</v>
      </c>
      <c r="C524" s="106"/>
      <c r="D524" s="106"/>
      <c r="E524" s="201"/>
      <c r="F524" s="241">
        <v>6300000</v>
      </c>
      <c r="G524" s="203"/>
      <c r="H524" s="509"/>
      <c r="J524" s="69"/>
      <c r="M524" s="239"/>
      <c r="N524" s="183"/>
      <c r="O524" s="240"/>
    </row>
    <row r="525" spans="1:15" ht="25.5" customHeight="1">
      <c r="A525" s="361" t="s">
        <v>360</v>
      </c>
      <c r="B525" s="244" t="s">
        <v>361</v>
      </c>
      <c r="C525" s="245"/>
      <c r="D525" s="245"/>
      <c r="E525" s="245"/>
      <c r="F525" s="246">
        <v>5500000</v>
      </c>
      <c r="G525" s="349"/>
      <c r="M525" s="239"/>
      <c r="N525" s="183"/>
      <c r="O525" s="240"/>
    </row>
    <row r="526" spans="1:15" ht="21.75" customHeight="1">
      <c r="A526" s="247"/>
      <c r="B526" s="242" t="s">
        <v>458</v>
      </c>
      <c r="C526" s="248"/>
      <c r="D526" s="248"/>
      <c r="E526" s="248"/>
      <c r="F526" s="243">
        <v>1500000</v>
      </c>
      <c r="G526" s="349"/>
      <c r="H526" s="499"/>
      <c r="M526" s="239"/>
      <c r="N526" s="183"/>
      <c r="O526" s="240"/>
    </row>
    <row r="527" spans="1:15" ht="21.75" customHeight="1">
      <c r="A527" s="247"/>
      <c r="B527" s="242" t="s">
        <v>460</v>
      </c>
      <c r="C527" s="248"/>
      <c r="D527" s="248"/>
      <c r="E527" s="248"/>
      <c r="F527" s="243">
        <v>1000000</v>
      </c>
      <c r="G527" s="349"/>
      <c r="H527" s="499"/>
      <c r="M527" s="239"/>
      <c r="N527" s="183"/>
      <c r="O527" s="240"/>
    </row>
    <row r="528" spans="1:15" ht="21.75" customHeight="1">
      <c r="A528" s="247"/>
      <c r="B528" s="242" t="s">
        <v>457</v>
      </c>
      <c r="C528" s="248"/>
      <c r="D528" s="248"/>
      <c r="E528" s="248"/>
      <c r="F528" s="243">
        <v>800000</v>
      </c>
      <c r="G528" s="349"/>
      <c r="H528" s="499"/>
      <c r="M528" s="239"/>
      <c r="N528" s="183"/>
      <c r="O528" s="240"/>
    </row>
    <row r="529" spans="1:15" ht="20.100000000000001" customHeight="1">
      <c r="A529" s="249" t="s">
        <v>360</v>
      </c>
      <c r="B529" s="242" t="s">
        <v>459</v>
      </c>
      <c r="C529" s="218" t="s">
        <v>362</v>
      </c>
      <c r="D529" s="95"/>
      <c r="E529" s="95"/>
      <c r="F529" s="243">
        <v>900000</v>
      </c>
      <c r="G529" s="349"/>
      <c r="H529" s="499"/>
      <c r="M529" s="239"/>
      <c r="N529" s="183"/>
      <c r="O529" s="240"/>
    </row>
    <row r="530" spans="1:15" ht="20.100000000000001" customHeight="1" thickBot="1">
      <c r="A530" s="270" t="s">
        <v>360</v>
      </c>
      <c r="B530" s="242" t="s">
        <v>363</v>
      </c>
      <c r="C530" s="218" t="s">
        <v>362</v>
      </c>
      <c r="D530" s="95"/>
      <c r="E530" s="95"/>
      <c r="F530" s="243">
        <v>1300000</v>
      </c>
      <c r="G530" s="203"/>
      <c r="H530" s="499"/>
      <c r="L530" s="234"/>
      <c r="M530" s="239"/>
      <c r="N530" s="183"/>
      <c r="O530" s="240"/>
    </row>
    <row r="531" spans="1:15" ht="21" customHeight="1" thickBot="1">
      <c r="A531" s="894" t="s">
        <v>278</v>
      </c>
      <c r="B531" s="894"/>
      <c r="C531" s="894"/>
      <c r="D531" s="894"/>
      <c r="E531" s="894"/>
      <c r="F531" s="211">
        <f>F519+F520+F521+F522+F523+F525</f>
        <v>14700000</v>
      </c>
      <c r="G531" s="203">
        <f>SUM(F531-'Kiadások COFOG szerint'!F318)</f>
        <v>0</v>
      </c>
      <c r="M531" s="862"/>
      <c r="N531" s="862"/>
      <c r="O531" s="240"/>
    </row>
    <row r="532" spans="1:15">
      <c r="M532" s="862"/>
      <c r="N532" s="862"/>
      <c r="O532" s="240"/>
    </row>
    <row r="533" spans="1:15" ht="13.5" customHeight="1" thickBot="1">
      <c r="M533" s="862"/>
      <c r="N533" s="862"/>
      <c r="O533" s="240"/>
    </row>
    <row r="534" spans="1:15" ht="0.75" hidden="1" customHeight="1">
      <c r="M534" s="862"/>
      <c r="N534" s="862"/>
      <c r="O534" s="240"/>
    </row>
    <row r="535" spans="1:15" ht="21.75" customHeight="1" thickBot="1">
      <c r="A535" s="882" t="s">
        <v>306</v>
      </c>
      <c r="B535" s="882"/>
      <c r="C535" s="882"/>
      <c r="D535" s="882"/>
      <c r="E535" s="882"/>
      <c r="F535" s="251">
        <f>F123+F141+F156+F170+F176+F197+F212+F222+F238+F246+F279+F345+F392+F398+F410+F433+F479+F484+F490+F495+F501+F515+F531+F271</f>
        <v>688212242</v>
      </c>
      <c r="M535" s="859"/>
      <c r="N535" s="859"/>
      <c r="O535" s="240"/>
    </row>
    <row r="536" spans="1:15">
      <c r="O536" s="240"/>
    </row>
    <row r="537" spans="1:15">
      <c r="F537" s="471">
        <f>'Bevételek COFOG szerint 2023'!F175-'Kiadások részletes COFOG'!F535</f>
        <v>0</v>
      </c>
    </row>
    <row r="539" spans="1:15">
      <c r="B539" s="118"/>
    </row>
    <row r="540" spans="1:15" ht="24" customHeight="1">
      <c r="B540" s="896"/>
      <c r="C540" s="896"/>
      <c r="D540" s="896"/>
      <c r="E540" s="281"/>
      <c r="F540" s="282"/>
    </row>
    <row r="541" spans="1:15">
      <c r="B541" s="281"/>
      <c r="C541" s="281"/>
      <c r="D541" s="281"/>
      <c r="E541" s="281"/>
      <c r="F541" s="283"/>
    </row>
    <row r="542" spans="1:15">
      <c r="B542" s="281"/>
      <c r="C542" s="281"/>
      <c r="D542" s="281"/>
      <c r="E542" s="281"/>
      <c r="F542" s="283"/>
    </row>
    <row r="543" spans="1:15">
      <c r="B543" s="281"/>
      <c r="C543" s="281"/>
      <c r="D543" s="281"/>
      <c r="E543" s="281"/>
      <c r="F543" s="283"/>
    </row>
    <row r="544" spans="1:15">
      <c r="B544" s="281"/>
      <c r="C544" s="281"/>
      <c r="D544" s="284"/>
      <c r="E544" s="281"/>
      <c r="F544" s="283"/>
    </row>
    <row r="545" spans="2:6">
      <c r="B545" s="284"/>
      <c r="C545" s="281"/>
      <c r="D545" s="281"/>
      <c r="E545" s="281"/>
      <c r="F545" s="283"/>
    </row>
    <row r="546" spans="2:6">
      <c r="B546" s="281"/>
      <c r="C546" s="281"/>
      <c r="D546" s="281"/>
      <c r="E546" s="281"/>
      <c r="F546" s="283"/>
    </row>
    <row r="547" spans="2:6">
      <c r="B547" s="281"/>
      <c r="C547" s="281"/>
      <c r="D547" s="281"/>
      <c r="E547" s="281"/>
      <c r="F547" s="283"/>
    </row>
    <row r="548" spans="2:6">
      <c r="B548" s="281"/>
      <c r="C548" s="281"/>
      <c r="D548" s="281"/>
      <c r="E548" s="281"/>
      <c r="F548" s="283"/>
    </row>
    <row r="549" spans="2:6">
      <c r="B549" s="281"/>
      <c r="C549" s="281"/>
      <c r="D549" s="281"/>
      <c r="E549" s="281"/>
      <c r="F549" s="283"/>
    </row>
    <row r="550" spans="2:6">
      <c r="B550" s="281"/>
      <c r="C550" s="281"/>
      <c r="D550" s="281"/>
      <c r="E550" s="281"/>
      <c r="F550" s="283"/>
    </row>
    <row r="551" spans="2:6">
      <c r="B551" s="281"/>
      <c r="C551" s="281"/>
      <c r="D551" s="281"/>
      <c r="E551" s="281"/>
      <c r="F551" s="283"/>
    </row>
    <row r="552" spans="2:6">
      <c r="B552" s="281"/>
      <c r="C552" s="281"/>
      <c r="D552" s="281"/>
      <c r="E552" s="281"/>
      <c r="F552" s="283"/>
    </row>
    <row r="553" spans="2:6">
      <c r="B553" s="281"/>
      <c r="C553" s="281"/>
      <c r="D553" s="281"/>
      <c r="E553" s="281"/>
      <c r="F553" s="283"/>
    </row>
    <row r="554" spans="2:6">
      <c r="B554" s="281"/>
      <c r="C554" s="281"/>
      <c r="D554" s="281"/>
      <c r="E554" s="281"/>
      <c r="F554" s="283"/>
    </row>
  </sheetData>
  <mergeCells count="319">
    <mergeCell ref="B109:E109"/>
    <mergeCell ref="B114:E114"/>
    <mergeCell ref="B105:E105"/>
    <mergeCell ref="B106:E106"/>
    <mergeCell ref="B111:E111"/>
    <mergeCell ref="B108:E108"/>
    <mergeCell ref="B110:E110"/>
    <mergeCell ref="B112:E112"/>
    <mergeCell ref="A396:A397"/>
    <mergeCell ref="B107:E107"/>
    <mergeCell ref="B187:E187"/>
    <mergeCell ref="A212:E212"/>
    <mergeCell ref="B119:F119"/>
    <mergeCell ref="B121:E121"/>
    <mergeCell ref="A123:E123"/>
    <mergeCell ref="A124:F124"/>
    <mergeCell ref="A125:A126"/>
    <mergeCell ref="B125:B126"/>
    <mergeCell ref="C125:F125"/>
    <mergeCell ref="C126:E126"/>
    <mergeCell ref="A131:A133"/>
    <mergeCell ref="A134:A135"/>
    <mergeCell ref="B135:E135"/>
    <mergeCell ref="A104:A114"/>
    <mergeCell ref="A81:A88"/>
    <mergeCell ref="A37:A40"/>
    <mergeCell ref="A41:A45"/>
    <mergeCell ref="A46:A49"/>
    <mergeCell ref="A50:A51"/>
    <mergeCell ref="B45:E45"/>
    <mergeCell ref="A56:A59"/>
    <mergeCell ref="B59:E59"/>
    <mergeCell ref="B49:E49"/>
    <mergeCell ref="B51:E51"/>
    <mergeCell ref="B55:E55"/>
    <mergeCell ref="A75:A80"/>
    <mergeCell ref="G180:J180"/>
    <mergeCell ref="A247:F247"/>
    <mergeCell ref="A248:A249"/>
    <mergeCell ref="B248:B249"/>
    <mergeCell ref="C248:F248"/>
    <mergeCell ref="C249:E249"/>
    <mergeCell ref="B194:E194"/>
    <mergeCell ref="B195:E195"/>
    <mergeCell ref="B189:E189"/>
    <mergeCell ref="B191:E191"/>
    <mergeCell ref="B186:E186"/>
    <mergeCell ref="B192:E192"/>
    <mergeCell ref="A197:E197"/>
    <mergeCell ref="A198:F198"/>
    <mergeCell ref="A199:A200"/>
    <mergeCell ref="B199:B200"/>
    <mergeCell ref="C199:F199"/>
    <mergeCell ref="A214:A215"/>
    <mergeCell ref="B214:B215"/>
    <mergeCell ref="C214:F214"/>
    <mergeCell ref="C215:E215"/>
    <mergeCell ref="A222:E222"/>
    <mergeCell ref="A224:A225"/>
    <mergeCell ref="B193:E193"/>
    <mergeCell ref="B104:E104"/>
    <mergeCell ref="A11:A14"/>
    <mergeCell ref="B11:F11"/>
    <mergeCell ref="B14:E14"/>
    <mergeCell ref="B15:F15"/>
    <mergeCell ref="B25:E25"/>
    <mergeCell ref="A26:A31"/>
    <mergeCell ref="B26:F26"/>
    <mergeCell ref="B31:E31"/>
    <mergeCell ref="A33:A36"/>
    <mergeCell ref="B36:E36"/>
    <mergeCell ref="B32:E32"/>
    <mergeCell ref="B40:E40"/>
    <mergeCell ref="B80:E80"/>
    <mergeCell ref="B90:E90"/>
    <mergeCell ref="B63:E63"/>
    <mergeCell ref="B74:E74"/>
    <mergeCell ref="B93:F93"/>
    <mergeCell ref="B98:E98"/>
    <mergeCell ref="A100:A102"/>
    <mergeCell ref="B100:F100"/>
    <mergeCell ref="B102:E102"/>
    <mergeCell ref="A60:A63"/>
    <mergeCell ref="A64:A74"/>
    <mergeCell ref="E1:F1"/>
    <mergeCell ref="A3:F3"/>
    <mergeCell ref="A4:F4"/>
    <mergeCell ref="A6:F6"/>
    <mergeCell ref="A8:F8"/>
    <mergeCell ref="A9:A10"/>
    <mergeCell ref="B9:B10"/>
    <mergeCell ref="C9:F9"/>
    <mergeCell ref="C10:E10"/>
    <mergeCell ref="A141:E141"/>
    <mergeCell ref="A142:F142"/>
    <mergeCell ref="A143:A144"/>
    <mergeCell ref="B143:B144"/>
    <mergeCell ref="C143:F143"/>
    <mergeCell ref="C144:E144"/>
    <mergeCell ref="A156:E156"/>
    <mergeCell ref="B139:E139"/>
    <mergeCell ref="B140:E140"/>
    <mergeCell ref="B180:E180"/>
    <mergeCell ref="A157:F157"/>
    <mergeCell ref="A158:A159"/>
    <mergeCell ref="B158:B159"/>
    <mergeCell ref="C158:F158"/>
    <mergeCell ref="C159:E159"/>
    <mergeCell ref="A166:A167"/>
    <mergeCell ref="B167:E167"/>
    <mergeCell ref="B164:E164"/>
    <mergeCell ref="B160:E160"/>
    <mergeCell ref="A170:E170"/>
    <mergeCell ref="A171:F171"/>
    <mergeCell ref="A172:A173"/>
    <mergeCell ref="B172:B173"/>
    <mergeCell ref="C172:F172"/>
    <mergeCell ref="C173:E173"/>
    <mergeCell ref="A176:E176"/>
    <mergeCell ref="A177:F177"/>
    <mergeCell ref="A178:A179"/>
    <mergeCell ref="B178:B179"/>
    <mergeCell ref="C178:F178"/>
    <mergeCell ref="C179:E179"/>
    <mergeCell ref="B174:E174"/>
    <mergeCell ref="B175:E175"/>
    <mergeCell ref="B182:E182"/>
    <mergeCell ref="B184:E184"/>
    <mergeCell ref="B183:E183"/>
    <mergeCell ref="B181:F181"/>
    <mergeCell ref="A182:A183"/>
    <mergeCell ref="A223:F223"/>
    <mergeCell ref="A213:F213"/>
    <mergeCell ref="C200:E200"/>
    <mergeCell ref="B224:B225"/>
    <mergeCell ref="C224:F224"/>
    <mergeCell ref="C225:E225"/>
    <mergeCell ref="F182:F183"/>
    <mergeCell ref="B196:E196"/>
    <mergeCell ref="A186:A196"/>
    <mergeCell ref="B190:E190"/>
    <mergeCell ref="B188:E188"/>
    <mergeCell ref="A235:A236"/>
    <mergeCell ref="B226:E226"/>
    <mergeCell ref="I235:J235"/>
    <mergeCell ref="B236:E236"/>
    <mergeCell ref="A238:E238"/>
    <mergeCell ref="A239:F239"/>
    <mergeCell ref="A240:A241"/>
    <mergeCell ref="B240:B241"/>
    <mergeCell ref="C240:F240"/>
    <mergeCell ref="C241:E241"/>
    <mergeCell ref="A227:A230"/>
    <mergeCell ref="B231:E231"/>
    <mergeCell ref="B230:E230"/>
    <mergeCell ref="A246:E246"/>
    <mergeCell ref="A272:F272"/>
    <mergeCell ref="A273:A274"/>
    <mergeCell ref="B273:B274"/>
    <mergeCell ref="C273:F273"/>
    <mergeCell ref="C274:E274"/>
    <mergeCell ref="A271:E271"/>
    <mergeCell ref="A279:E279"/>
    <mergeCell ref="A280:F280"/>
    <mergeCell ref="A281:A282"/>
    <mergeCell ref="B281:B282"/>
    <mergeCell ref="C281:F281"/>
    <mergeCell ref="C282:E282"/>
    <mergeCell ref="B283:F283"/>
    <mergeCell ref="B286:E286"/>
    <mergeCell ref="A311:A314"/>
    <mergeCell ref="A309:A310"/>
    <mergeCell ref="A303:A308"/>
    <mergeCell ref="A299:A301"/>
    <mergeCell ref="A291:A294"/>
    <mergeCell ref="A283:A286"/>
    <mergeCell ref="B351:E351"/>
    <mergeCell ref="A367:A370"/>
    <mergeCell ref="B367:F367"/>
    <mergeCell ref="B370:E370"/>
    <mergeCell ref="A380:A382"/>
    <mergeCell ref="B366:E366"/>
    <mergeCell ref="B329:F329"/>
    <mergeCell ref="B333:E333"/>
    <mergeCell ref="A345:E345"/>
    <mergeCell ref="A346:F346"/>
    <mergeCell ref="A347:A348"/>
    <mergeCell ref="B347:B348"/>
    <mergeCell ref="C347:F347"/>
    <mergeCell ref="C348:E348"/>
    <mergeCell ref="B363:E363"/>
    <mergeCell ref="B352:E352"/>
    <mergeCell ref="B360:E360"/>
    <mergeCell ref="B355:E355"/>
    <mergeCell ref="B356:E356"/>
    <mergeCell ref="B357:E357"/>
    <mergeCell ref="B358:E358"/>
    <mergeCell ref="B359:E359"/>
    <mergeCell ref="B387:E387"/>
    <mergeCell ref="A400:A401"/>
    <mergeCell ref="B400:B401"/>
    <mergeCell ref="C400:F400"/>
    <mergeCell ref="C401:E401"/>
    <mergeCell ref="A410:E410"/>
    <mergeCell ref="C416:E416"/>
    <mergeCell ref="C417:E417"/>
    <mergeCell ref="C419:E419"/>
    <mergeCell ref="A392:E392"/>
    <mergeCell ref="A399:F399"/>
    <mergeCell ref="A393:F393"/>
    <mergeCell ref="A394:A395"/>
    <mergeCell ref="B394:B395"/>
    <mergeCell ref="C394:F394"/>
    <mergeCell ref="C395:E395"/>
    <mergeCell ref="A398:E398"/>
    <mergeCell ref="B390:E390"/>
    <mergeCell ref="A411:F411"/>
    <mergeCell ref="A412:A413"/>
    <mergeCell ref="B412:B413"/>
    <mergeCell ref="C412:F412"/>
    <mergeCell ref="C413:E413"/>
    <mergeCell ref="A414:A432"/>
    <mergeCell ref="C420:E420"/>
    <mergeCell ref="C421:E421"/>
    <mergeCell ref="C422:E422"/>
    <mergeCell ref="C423:E423"/>
    <mergeCell ref="C424:E424"/>
    <mergeCell ref="C425:E425"/>
    <mergeCell ref="C426:E426"/>
    <mergeCell ref="B452:B454"/>
    <mergeCell ref="C414:E414"/>
    <mergeCell ref="B415:B432"/>
    <mergeCell ref="C415:E415"/>
    <mergeCell ref="C427:E427"/>
    <mergeCell ref="C428:E428"/>
    <mergeCell ref="C429:E429"/>
    <mergeCell ref="C430:E430"/>
    <mergeCell ref="C431:E431"/>
    <mergeCell ref="C432:E432"/>
    <mergeCell ref="C418:E418"/>
    <mergeCell ref="A433:E433"/>
    <mergeCell ref="A434:F434"/>
    <mergeCell ref="B447:E447"/>
    <mergeCell ref="B443:E443"/>
    <mergeCell ref="C487:E487"/>
    <mergeCell ref="C488:E488"/>
    <mergeCell ref="C489:E489"/>
    <mergeCell ref="A490:E490"/>
    <mergeCell ref="C498:E498"/>
    <mergeCell ref="C435:F435"/>
    <mergeCell ref="C436:E436"/>
    <mergeCell ref="B437:F437"/>
    <mergeCell ref="B442:E442"/>
    <mergeCell ref="B457:E457"/>
    <mergeCell ref="A452:A454"/>
    <mergeCell ref="A495:E495"/>
    <mergeCell ref="A496:F496"/>
    <mergeCell ref="A497:A498"/>
    <mergeCell ref="B497:B498"/>
    <mergeCell ref="C497:F497"/>
    <mergeCell ref="A435:A436"/>
    <mergeCell ref="B435:B436"/>
    <mergeCell ref="C493:E493"/>
    <mergeCell ref="C494:E494"/>
    <mergeCell ref="A485:F485"/>
    <mergeCell ref="A486:A487"/>
    <mergeCell ref="B486:B487"/>
    <mergeCell ref="C486:F486"/>
    <mergeCell ref="B540:D540"/>
    <mergeCell ref="A517:A518"/>
    <mergeCell ref="B517:B518"/>
    <mergeCell ref="C517:F517"/>
    <mergeCell ref="C518:E518"/>
    <mergeCell ref="A523:A524"/>
    <mergeCell ref="A531:E531"/>
    <mergeCell ref="B458:F458"/>
    <mergeCell ref="B463:E463"/>
    <mergeCell ref="A479:E479"/>
    <mergeCell ref="A480:F480"/>
    <mergeCell ref="A481:A482"/>
    <mergeCell ref="B481:B482"/>
    <mergeCell ref="C481:F481"/>
    <mergeCell ref="C482:E482"/>
    <mergeCell ref="C483:E483"/>
    <mergeCell ref="B466:E466"/>
    <mergeCell ref="B470:E470"/>
    <mergeCell ref="B473:E473"/>
    <mergeCell ref="A484:E484"/>
    <mergeCell ref="A491:F491"/>
    <mergeCell ref="A492:A493"/>
    <mergeCell ref="B492:B493"/>
    <mergeCell ref="C492:F492"/>
    <mergeCell ref="A535:E535"/>
    <mergeCell ref="M535:N535"/>
    <mergeCell ref="A501:E501"/>
    <mergeCell ref="A502:F502"/>
    <mergeCell ref="A503:A504"/>
    <mergeCell ref="B503:B504"/>
    <mergeCell ref="C503:F503"/>
    <mergeCell ref="C504:E504"/>
    <mergeCell ref="C514:E514"/>
    <mergeCell ref="A515:E515"/>
    <mergeCell ref="A516:F516"/>
    <mergeCell ref="M531:N531"/>
    <mergeCell ref="M532:N532"/>
    <mergeCell ref="H517:I517"/>
    <mergeCell ref="M533:N533"/>
    <mergeCell ref="M534:N534"/>
    <mergeCell ref="B115:E115"/>
    <mergeCell ref="B116:E116"/>
    <mergeCell ref="B117:E117"/>
    <mergeCell ref="B118:E118"/>
    <mergeCell ref="B122:E122"/>
    <mergeCell ref="B127:E127"/>
    <mergeCell ref="B130:E130"/>
    <mergeCell ref="B137:E137"/>
    <mergeCell ref="B138:E138"/>
    <mergeCell ref="B131:F131"/>
    <mergeCell ref="B133:E133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80" firstPageNumber="0" orientation="portrait" verticalDpi="300" r:id="rId1"/>
  <headerFooter>
    <oddHeader>&amp;R2020.01.hó</oddHeader>
  </headerFooter>
  <rowBreaks count="6" manualBreakCount="6">
    <brk id="123" max="16383" man="1"/>
    <brk id="197" max="16383" man="1"/>
    <brk id="279" max="16383" man="1"/>
    <brk id="345" max="16383" man="1"/>
    <brk id="410" max="16383" man="1"/>
    <brk id="4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  <pageSetUpPr fitToPage="1"/>
  </sheetPr>
  <dimension ref="A1:K42"/>
  <sheetViews>
    <sheetView topLeftCell="A4" zoomScaleNormal="100" workbookViewId="0">
      <selection activeCell="F7" sqref="F7"/>
    </sheetView>
  </sheetViews>
  <sheetFormatPr defaultRowHeight="12.75"/>
  <cols>
    <col min="1" max="1" width="12.28515625" customWidth="1"/>
    <col min="2" max="2" width="32.42578125" customWidth="1"/>
    <col min="3" max="3" width="14.42578125" customWidth="1"/>
    <col min="4" max="4" width="11.5703125" customWidth="1"/>
    <col min="5" max="6" width="16" style="79" customWidth="1"/>
    <col min="7" max="7" width="15.140625" customWidth="1"/>
    <col min="8" max="10" width="15" bestFit="1" customWidth="1"/>
    <col min="11" max="11" width="15.85546875" customWidth="1"/>
    <col min="12" max="1024" width="8.42578125" customWidth="1"/>
  </cols>
  <sheetData>
    <row r="1" spans="1:11">
      <c r="E1" s="48"/>
      <c r="F1" s="48"/>
      <c r="G1" s="48"/>
      <c r="H1" s="48"/>
      <c r="I1" s="170"/>
      <c r="J1" s="170"/>
    </row>
    <row r="2" spans="1:11" ht="15.75">
      <c r="A2" s="810" t="s">
        <v>610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</row>
    <row r="3" spans="1:11" ht="15.75">
      <c r="A3" s="810" t="s">
        <v>389</v>
      </c>
      <c r="B3" s="810"/>
      <c r="C3" s="810"/>
      <c r="D3" s="810"/>
      <c r="E3" s="810"/>
      <c r="F3" s="810"/>
      <c r="G3" s="810"/>
      <c r="H3" s="810"/>
      <c r="I3" s="810"/>
      <c r="J3" s="810"/>
      <c r="K3" s="810"/>
    </row>
    <row r="4" spans="1:11" ht="18.75" customHeight="1">
      <c r="A4" s="980" t="s">
        <v>364</v>
      </c>
      <c r="B4" s="980"/>
      <c r="C4" s="980"/>
      <c r="D4" s="980"/>
      <c r="E4" s="980"/>
      <c r="F4" s="980"/>
      <c r="G4" s="980"/>
      <c r="H4" s="980"/>
      <c r="I4" s="980"/>
      <c r="J4" s="980"/>
      <c r="K4" s="980"/>
    </row>
    <row r="5" spans="1:11" ht="16.5" thickBot="1">
      <c r="A5" s="49"/>
      <c r="B5" s="49"/>
      <c r="C5" s="49"/>
      <c r="D5" s="49"/>
      <c r="E5" s="49"/>
      <c r="F5" s="49"/>
      <c r="K5" s="50" t="s">
        <v>1</v>
      </c>
    </row>
    <row r="6" spans="1:11" ht="13.5" thickBot="1">
      <c r="A6" s="981" t="s">
        <v>365</v>
      </c>
      <c r="B6" s="981"/>
      <c r="C6" s="981"/>
      <c r="D6" s="981"/>
      <c r="E6" s="981"/>
      <c r="F6" s="981" t="s">
        <v>366</v>
      </c>
      <c r="G6" s="982"/>
      <c r="H6" s="985" t="s">
        <v>367</v>
      </c>
      <c r="I6" s="986"/>
      <c r="J6" s="983" t="s">
        <v>368</v>
      </c>
      <c r="K6" s="984"/>
    </row>
    <row r="7" spans="1:11" ht="13.5" thickBot="1">
      <c r="A7" s="981"/>
      <c r="B7" s="981"/>
      <c r="C7" s="981"/>
      <c r="D7" s="981"/>
      <c r="E7" s="981"/>
      <c r="F7" s="481" t="s">
        <v>605</v>
      </c>
      <c r="G7" s="482" t="s">
        <v>625</v>
      </c>
      <c r="H7" s="481" t="s">
        <v>605</v>
      </c>
      <c r="I7" s="482" t="s">
        <v>625</v>
      </c>
      <c r="J7" s="481" t="s">
        <v>605</v>
      </c>
      <c r="K7" s="482" t="s">
        <v>625</v>
      </c>
    </row>
    <row r="8" spans="1:11" ht="24.95" customHeight="1">
      <c r="A8" s="979" t="s">
        <v>114</v>
      </c>
      <c r="B8" s="979"/>
      <c r="C8" s="979"/>
      <c r="D8" s="979"/>
      <c r="E8" s="979"/>
      <c r="F8" s="252">
        <f>SUM('Kiadások COFOG szerint'!C17)</f>
        <v>23360000</v>
      </c>
      <c r="G8" s="20">
        <f>SUM('Kiadások COFOG szerint'!F17)</f>
        <v>24110000</v>
      </c>
      <c r="H8" s="253">
        <f>SUM('Kiadások COFOG szerint'!C19)</f>
        <v>3100000</v>
      </c>
      <c r="I8" s="254">
        <f>SUM('Kiadások COFOG szerint'!F19)</f>
        <v>3300000</v>
      </c>
      <c r="J8" s="252">
        <f>SUM('Kiadások COFOG szerint'!C38)</f>
        <v>28524000</v>
      </c>
      <c r="K8" s="20">
        <f>SUM('Kiadások COFOG szerint'!F38)</f>
        <v>27980000</v>
      </c>
    </row>
    <row r="9" spans="1:11" ht="24.95" customHeight="1">
      <c r="A9" s="975" t="s">
        <v>120</v>
      </c>
      <c r="B9" s="975"/>
      <c r="C9" s="975"/>
      <c r="D9" s="975"/>
      <c r="E9" s="975"/>
      <c r="F9" s="252">
        <v>0</v>
      </c>
      <c r="G9" s="20">
        <v>0</v>
      </c>
      <c r="H9" s="253">
        <v>0</v>
      </c>
      <c r="I9" s="254">
        <v>0</v>
      </c>
      <c r="J9" s="252">
        <f>SUM('Kiadások COFOG szerint'!C60:C66)</f>
        <v>952500</v>
      </c>
      <c r="K9" s="20">
        <f>SUM('Kiadások COFOG szerint'!F60:F66)</f>
        <v>952500</v>
      </c>
    </row>
    <row r="10" spans="1:11" ht="24.95" customHeight="1">
      <c r="A10" s="975" t="s">
        <v>493</v>
      </c>
      <c r="B10" s="975"/>
      <c r="C10" s="975"/>
      <c r="D10" s="975"/>
      <c r="E10" s="975"/>
      <c r="F10" s="252">
        <v>0</v>
      </c>
      <c r="G10" s="20">
        <v>0</v>
      </c>
      <c r="H10" s="253"/>
      <c r="I10" s="254">
        <v>0</v>
      </c>
      <c r="J10" s="252">
        <f>SUM('Kiadások COFOG szerint'!C75:C82)</f>
        <v>3518440</v>
      </c>
      <c r="K10" s="20">
        <f>SUM('Kiadások COFOG szerint'!F77:F82)</f>
        <v>2434000</v>
      </c>
    </row>
    <row r="11" spans="1:11" ht="24.95" customHeight="1">
      <c r="A11" s="975" t="s">
        <v>282</v>
      </c>
      <c r="B11" s="975"/>
      <c r="C11" s="975"/>
      <c r="D11" s="975"/>
      <c r="E11" s="975"/>
      <c r="F11" s="252">
        <f>'Kiadások COFOG szerint'!C90</f>
        <v>300000</v>
      </c>
      <c r="G11" s="20">
        <f>SUM('Kiadások COFOG szerint'!F90)</f>
        <v>300000</v>
      </c>
      <c r="H11" s="253">
        <v>0</v>
      </c>
      <c r="I11" s="254">
        <v>0</v>
      </c>
      <c r="J11" s="252">
        <f>SUM('Kiadások COFOG szerint'!C92:C97)</f>
        <v>4272000</v>
      </c>
      <c r="K11" s="20">
        <f>SUM('Kiadások COFOG szerint'!F92:F97)</f>
        <v>4272000</v>
      </c>
    </row>
    <row r="12" spans="1:11" ht="24.95" customHeight="1">
      <c r="A12" s="975" t="s">
        <v>494</v>
      </c>
      <c r="B12" s="975"/>
      <c r="C12" s="975"/>
      <c r="D12" s="975"/>
      <c r="E12" s="975"/>
      <c r="F12" s="252">
        <f>SUM('Kiadások COFOG szerint'!C114)</f>
        <v>3904350</v>
      </c>
      <c r="G12" s="20">
        <f>SUM('Kiadások COFOG szerint'!F114)</f>
        <v>3037600</v>
      </c>
      <c r="H12" s="253">
        <f>SUM('Kiadások COFOG szerint'!C115)</f>
        <v>270000</v>
      </c>
      <c r="I12" s="254">
        <f>'Kiadások COFOG szerint'!F115</f>
        <v>200000</v>
      </c>
      <c r="J12" s="252">
        <f>SUM('Kiadások COFOG szerint'!C116:C117)</f>
        <v>0</v>
      </c>
      <c r="K12" s="20">
        <f>SUM('Kiadások COFOG szerint'!F116:F117)</f>
        <v>0</v>
      </c>
    </row>
    <row r="13" spans="1:11" ht="24.95" customHeight="1">
      <c r="A13" s="975" t="s">
        <v>495</v>
      </c>
      <c r="B13" s="975"/>
      <c r="C13" s="975"/>
      <c r="D13" s="975"/>
      <c r="E13" s="975"/>
      <c r="F13" s="252">
        <f>SUM('Kiadások COFOG szerint'!C124:C125)</f>
        <v>0</v>
      </c>
      <c r="G13" s="20">
        <f>SUM('Kiadások COFOG szerint'!F124:F125)</f>
        <v>0</v>
      </c>
      <c r="H13" s="253">
        <f>SUM('Kiadások COFOG szerint'!C126)</f>
        <v>0</v>
      </c>
      <c r="I13" s="254">
        <f>'Kiadások COFOG szerint'!F126</f>
        <v>0</v>
      </c>
      <c r="J13" s="252">
        <f>SUM('Kiadások COFOG szerint'!C127:C128)</f>
        <v>0</v>
      </c>
      <c r="K13" s="20">
        <f>'Kiadások COFOG szerint'!F127+'Kiadások COFOG szerint'!F128</f>
        <v>0</v>
      </c>
    </row>
    <row r="14" spans="1:11" ht="24.95" customHeight="1">
      <c r="A14" s="975" t="s">
        <v>284</v>
      </c>
      <c r="B14" s="975"/>
      <c r="C14" s="975"/>
      <c r="D14" s="975"/>
      <c r="E14" s="975"/>
      <c r="F14" s="252">
        <v>0</v>
      </c>
      <c r="G14" s="20">
        <v>0</v>
      </c>
      <c r="H14" s="253">
        <v>0</v>
      </c>
      <c r="I14" s="254">
        <v>0</v>
      </c>
      <c r="J14" s="252">
        <f>SUM('Kiadások COFOG szerint'!C133:C137)</f>
        <v>7030000</v>
      </c>
      <c r="K14" s="20">
        <f>'Kiadások COFOG szerint'!F133+'Kiadások COFOG szerint'!F134+'Kiadások COFOG szerint'!F135+'Kiadások COFOG szerint'!F137</f>
        <v>7030000</v>
      </c>
    </row>
    <row r="15" spans="1:11" ht="24.95" customHeight="1">
      <c r="A15" s="975" t="s">
        <v>133</v>
      </c>
      <c r="B15" s="975"/>
      <c r="C15" s="975"/>
      <c r="D15" s="975"/>
      <c r="E15" s="975"/>
      <c r="F15" s="252">
        <v>0</v>
      </c>
      <c r="G15" s="20">
        <v>0</v>
      </c>
      <c r="H15" s="253"/>
      <c r="I15" s="254">
        <v>0</v>
      </c>
      <c r="J15" s="252"/>
      <c r="K15" s="20">
        <v>0</v>
      </c>
    </row>
    <row r="16" spans="1:11" ht="24.95" customHeight="1">
      <c r="A16" s="975" t="s">
        <v>285</v>
      </c>
      <c r="B16" s="975"/>
      <c r="C16" s="975"/>
      <c r="D16" s="975"/>
      <c r="E16" s="975"/>
      <c r="F16" s="252">
        <v>0</v>
      </c>
      <c r="G16" s="20">
        <v>0</v>
      </c>
      <c r="H16" s="253">
        <v>0</v>
      </c>
      <c r="I16" s="254">
        <v>0</v>
      </c>
      <c r="J16" s="252">
        <f>SUM('Kiadások COFOG szerint'!C163:C166)</f>
        <v>9840000</v>
      </c>
      <c r="K16" s="20">
        <f>'Kiadások COFOG szerint'!F167</f>
        <v>9840000</v>
      </c>
    </row>
    <row r="17" spans="1:11" ht="24.95" customHeight="1">
      <c r="A17" s="975" t="s">
        <v>286</v>
      </c>
      <c r="B17" s="975"/>
      <c r="C17" s="975"/>
      <c r="D17" s="975"/>
      <c r="E17" s="975"/>
      <c r="F17" s="252">
        <f>SUM('Kiadások COFOG szerint'!C171:C175)</f>
        <v>4060000</v>
      </c>
      <c r="G17" s="20">
        <f>SUM('Kiadások COFOG szerint'!F171:F175)</f>
        <v>4010000</v>
      </c>
      <c r="H17" s="253">
        <f>'Kiadások COFOG szerint'!C177</f>
        <v>900000</v>
      </c>
      <c r="I17" s="254">
        <f>'Kiadások COFOG szerint'!F177</f>
        <v>900000</v>
      </c>
      <c r="J17" s="252">
        <f>SUM('Kiadások COFOG szerint'!C179:C188)</f>
        <v>8060600</v>
      </c>
      <c r="K17" s="20">
        <f>SUM('Kiadások COFOG szerint'!F179:F188)</f>
        <v>7360600</v>
      </c>
    </row>
    <row r="18" spans="1:11" ht="24.95" customHeight="1">
      <c r="A18" s="975" t="s">
        <v>134</v>
      </c>
      <c r="B18" s="975"/>
      <c r="C18" s="975"/>
      <c r="D18" s="975"/>
      <c r="E18" s="975"/>
      <c r="F18" s="252">
        <f>SUM('Kiadások COFOG szerint'!C199:C207)</f>
        <v>6140000</v>
      </c>
      <c r="G18" s="20">
        <f>SUM('Kiadások COFOG szerint'!F199:F207)</f>
        <v>6140000</v>
      </c>
      <c r="H18" s="253">
        <f>SUM('Kiadások COFOG szerint'!C208:C208)</f>
        <v>815000</v>
      </c>
      <c r="I18" s="254">
        <f>SUM('Kiadások COFOG szerint'!F208:F208)</f>
        <v>815000</v>
      </c>
      <c r="J18" s="252">
        <f>SUM('Kiadások COFOG szerint'!C209:C217)</f>
        <v>629300</v>
      </c>
      <c r="K18" s="20">
        <f>SUM('Kiadások COFOG szerint'!F209:F217)</f>
        <v>629300</v>
      </c>
    </row>
    <row r="19" spans="1:11" ht="24.95" customHeight="1">
      <c r="A19" s="975" t="s">
        <v>428</v>
      </c>
      <c r="B19" s="975"/>
      <c r="C19" s="975"/>
      <c r="D19" s="975"/>
      <c r="E19" s="975"/>
      <c r="F19" s="252">
        <v>0</v>
      </c>
      <c r="G19" s="20">
        <v>0</v>
      </c>
      <c r="H19" s="253">
        <v>0</v>
      </c>
      <c r="I19" s="254">
        <v>0</v>
      </c>
      <c r="J19" s="252">
        <f>SUM('Kiadások COFOG szerint'!C226)</f>
        <v>128400</v>
      </c>
      <c r="K19" s="20">
        <f>SUM('Kiadások COFOG szerint'!F226)</f>
        <v>128400</v>
      </c>
    </row>
    <row r="20" spans="1:11" ht="24.95" customHeight="1">
      <c r="A20" s="975" t="s">
        <v>431</v>
      </c>
      <c r="B20" s="975"/>
      <c r="C20" s="975"/>
      <c r="D20" s="975"/>
      <c r="E20" s="975"/>
      <c r="F20" s="252">
        <f>SUM('Kiadások COFOG szerint'!C237)</f>
        <v>0</v>
      </c>
      <c r="G20" s="20">
        <f>'Kiadások COFOG szerint'!F237</f>
        <v>0</v>
      </c>
      <c r="H20" s="253">
        <f>SUM('Kiadások COFOG szerint'!C238)</f>
        <v>0</v>
      </c>
      <c r="I20" s="254">
        <f>'Kiadások COFOG szerint'!F238</f>
        <v>0</v>
      </c>
      <c r="J20" s="252">
        <f>SUM('Kiadások COFOG szerint'!C240:C242)</f>
        <v>0</v>
      </c>
      <c r="K20" s="20">
        <f>SUM('Kiadások COFOG szerint'!F240:F242)</f>
        <v>0</v>
      </c>
    </row>
    <row r="21" spans="1:11" ht="24.95" customHeight="1">
      <c r="A21" s="975" t="s">
        <v>136</v>
      </c>
      <c r="B21" s="975"/>
      <c r="C21" s="975"/>
      <c r="D21" s="975"/>
      <c r="E21" s="975"/>
      <c r="F21" s="252">
        <f>SUM('Kiadások COFOG szerint'!C254:C257)</f>
        <v>7210000</v>
      </c>
      <c r="G21" s="20">
        <f>SUM('Kiadások COFOG szerint'!F254:F257)</f>
        <v>7210000</v>
      </c>
      <c r="H21" s="253">
        <f>SUM('Kiadások COFOG szerint'!C259)</f>
        <v>1100000</v>
      </c>
      <c r="I21" s="254">
        <f>'Kiadások COFOG szerint'!F259</f>
        <v>1100000</v>
      </c>
      <c r="J21" s="252">
        <f>SUM('Kiadások COFOG szerint'!C260:C266)</f>
        <v>25285000</v>
      </c>
      <c r="K21" s="20">
        <f>SUM('Kiadások COFOG szerint'!F260:F266)</f>
        <v>24871973</v>
      </c>
    </row>
    <row r="22" spans="1:11" ht="24.95" customHeight="1">
      <c r="A22" s="975" t="s">
        <v>451</v>
      </c>
      <c r="B22" s="975"/>
      <c r="C22" s="975"/>
      <c r="D22" s="975"/>
      <c r="E22" s="975"/>
      <c r="F22" s="252">
        <v>0</v>
      </c>
      <c r="G22" s="20">
        <v>0</v>
      </c>
      <c r="H22" s="253">
        <v>0</v>
      </c>
      <c r="I22" s="254">
        <v>0</v>
      </c>
      <c r="J22" s="252">
        <f>SUM('Kiadások COFOG szerint'!C285)</f>
        <v>2286000</v>
      </c>
      <c r="K22" s="20">
        <f>'Kiadások COFOG szerint'!F285</f>
        <v>2286000</v>
      </c>
    </row>
    <row r="23" spans="1:11" ht="24.95" customHeight="1">
      <c r="A23" s="975" t="s">
        <v>298</v>
      </c>
      <c r="B23" s="975"/>
      <c r="C23" s="975"/>
      <c r="D23" s="975"/>
      <c r="E23" s="975"/>
      <c r="F23" s="252">
        <v>0</v>
      </c>
      <c r="G23" s="20">
        <v>0</v>
      </c>
      <c r="H23" s="253">
        <v>0</v>
      </c>
      <c r="I23" s="254">
        <v>0</v>
      </c>
      <c r="J23" s="252">
        <v>0</v>
      </c>
      <c r="K23" s="20">
        <f>'Kiadások COFOG szerint'!F291</f>
        <v>0</v>
      </c>
    </row>
    <row r="24" spans="1:11" ht="24.95" customHeight="1">
      <c r="A24" s="975" t="s">
        <v>496</v>
      </c>
      <c r="B24" s="975"/>
      <c r="C24" s="975"/>
      <c r="D24" s="975"/>
      <c r="E24" s="975"/>
      <c r="F24" s="252">
        <f>SUM('Kiadások COFOG szerint'!C300:C302)</f>
        <v>0</v>
      </c>
      <c r="G24" s="20">
        <f>SUM('Kiadások COFOG szerint'!F300:F302)</f>
        <v>0</v>
      </c>
      <c r="H24" s="253">
        <f>SUM('Kiadások COFOG szerint'!C304)</f>
        <v>260000</v>
      </c>
      <c r="I24" s="254">
        <f>SUM('Kiadások COFOG szerint'!F304)</f>
        <v>260000</v>
      </c>
      <c r="J24" s="252">
        <f>SUM('Kiadások COFOG szerint'!C305)</f>
        <v>0</v>
      </c>
      <c r="K24" s="20">
        <f>SUM('Kiadások COFOG szerint'!F305)</f>
        <v>0</v>
      </c>
    </row>
    <row r="25" spans="1:11" ht="24.95" customHeight="1" thickBot="1">
      <c r="A25" s="976" t="s">
        <v>369</v>
      </c>
      <c r="B25" s="976"/>
      <c r="C25" s="976"/>
      <c r="D25" s="976"/>
      <c r="E25" s="976"/>
      <c r="F25" s="255">
        <v>0</v>
      </c>
      <c r="G25" s="30">
        <v>0</v>
      </c>
      <c r="H25" s="256">
        <v>0</v>
      </c>
      <c r="I25" s="257">
        <v>0</v>
      </c>
      <c r="J25" s="255">
        <f>SUM('Kiadások COFOG szerint'!C311:C314)</f>
        <v>529000</v>
      </c>
      <c r="K25" s="30">
        <f>SUM('Kiadások COFOG szerint'!F311:F314)</f>
        <v>2900000</v>
      </c>
    </row>
    <row r="26" spans="1:11" ht="27.75" customHeight="1" thickBot="1">
      <c r="A26" s="977" t="s">
        <v>370</v>
      </c>
      <c r="B26" s="977"/>
      <c r="C26" s="977"/>
      <c r="D26" s="977"/>
      <c r="E26" s="978"/>
      <c r="F26" s="484">
        <f>SUM(F8:F25)</f>
        <v>44974350</v>
      </c>
      <c r="G26" s="484">
        <f t="shared" ref="G26:K26" si="0">SUM(G8:G25)</f>
        <v>44807600</v>
      </c>
      <c r="H26" s="484">
        <f t="shared" si="0"/>
        <v>6445000</v>
      </c>
      <c r="I26" s="484">
        <f t="shared" si="0"/>
        <v>6575000</v>
      </c>
      <c r="J26" s="484">
        <f t="shared" si="0"/>
        <v>91055240</v>
      </c>
      <c r="K26" s="484">
        <f t="shared" si="0"/>
        <v>90684773</v>
      </c>
    </row>
    <row r="30" spans="1:11">
      <c r="G30" s="258"/>
      <c r="H30" s="258"/>
      <c r="I30" s="258"/>
      <c r="J30" s="258"/>
      <c r="K30" s="258"/>
    </row>
    <row r="31" spans="1:11">
      <c r="G31" s="258"/>
      <c r="H31" s="258"/>
      <c r="I31" s="258"/>
      <c r="J31" s="258"/>
      <c r="K31" s="258"/>
    </row>
    <row r="32" spans="1:11">
      <c r="G32" s="258"/>
      <c r="H32" s="258"/>
      <c r="I32" s="258"/>
      <c r="J32" s="258"/>
      <c r="K32" s="258"/>
    </row>
    <row r="33" spans="7:11">
      <c r="G33" s="258"/>
      <c r="H33" s="258"/>
      <c r="I33" s="258"/>
      <c r="J33" s="258"/>
      <c r="K33" s="258"/>
    </row>
    <row r="34" spans="7:11">
      <c r="G34" s="258"/>
      <c r="H34" s="258"/>
      <c r="I34" s="258"/>
      <c r="J34" s="258"/>
      <c r="K34" s="258"/>
    </row>
    <row r="35" spans="7:11">
      <c r="G35" s="258"/>
      <c r="H35" s="258"/>
      <c r="I35" s="258"/>
      <c r="J35" s="258"/>
      <c r="K35" s="258"/>
    </row>
    <row r="36" spans="7:11">
      <c r="G36" s="258"/>
      <c r="H36" s="258"/>
      <c r="I36" s="258"/>
      <c r="J36" s="258"/>
      <c r="K36" s="258"/>
    </row>
    <row r="37" spans="7:11">
      <c r="G37" s="258"/>
      <c r="H37" s="258"/>
      <c r="I37" s="258"/>
      <c r="J37" s="258"/>
      <c r="K37" s="258"/>
    </row>
    <row r="38" spans="7:11">
      <c r="G38" s="258"/>
      <c r="H38" s="258"/>
      <c r="I38" s="258"/>
      <c r="J38" s="258"/>
      <c r="K38" s="258"/>
    </row>
    <row r="39" spans="7:11">
      <c r="G39" s="258"/>
      <c r="H39" s="258"/>
      <c r="I39" s="258"/>
      <c r="J39" s="258"/>
      <c r="K39" s="258"/>
    </row>
    <row r="40" spans="7:11">
      <c r="G40" s="258"/>
      <c r="H40" s="258"/>
      <c r="I40" s="258"/>
      <c r="J40" s="258"/>
      <c r="K40" s="258"/>
    </row>
    <row r="41" spans="7:11">
      <c r="G41" s="258"/>
      <c r="H41" s="258"/>
      <c r="I41" s="258"/>
      <c r="J41" s="258"/>
      <c r="K41" s="258"/>
    </row>
    <row r="42" spans="7:11">
      <c r="G42" s="119"/>
      <c r="H42" s="119"/>
      <c r="I42" s="119"/>
      <c r="J42" s="119"/>
      <c r="K42" s="119"/>
    </row>
  </sheetData>
  <mergeCells count="26">
    <mergeCell ref="A2:K2"/>
    <mergeCell ref="A3:K3"/>
    <mergeCell ref="A4:K4"/>
    <mergeCell ref="A6:E7"/>
    <mergeCell ref="F6:G6"/>
    <mergeCell ref="J6:K6"/>
    <mergeCell ref="H6:I6"/>
    <mergeCell ref="A8:E8"/>
    <mergeCell ref="A9:E9"/>
    <mergeCell ref="A11:E11"/>
    <mergeCell ref="A14:E14"/>
    <mergeCell ref="A10:E10"/>
    <mergeCell ref="A12:E12"/>
    <mergeCell ref="A13:E13"/>
    <mergeCell ref="A22:E22"/>
    <mergeCell ref="A21:E21"/>
    <mergeCell ref="A25:E25"/>
    <mergeCell ref="A26:E26"/>
    <mergeCell ref="A15:E15"/>
    <mergeCell ref="A16:E16"/>
    <mergeCell ref="A17:E17"/>
    <mergeCell ref="A18:E18"/>
    <mergeCell ref="A23:E23"/>
    <mergeCell ref="A19:E19"/>
    <mergeCell ref="A20:E20"/>
    <mergeCell ref="A24:E24"/>
  </mergeCells>
  <pageMargins left="0.59055118110236227" right="0.59055118110236227" top="0.98425196850393704" bottom="0.59055118110236227" header="0.51181102362204722" footer="0.51181102362204722"/>
  <pageSetup paperSize="9" scale="67" firstPageNumber="0" orientation="landscape" verticalDpi="300" r:id="rId1"/>
  <colBreaks count="1" manualBreakCount="1">
    <brk id="11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view="pageBreakPreview" zoomScale="96" zoomScaleNormal="100" zoomScaleSheetLayoutView="96" workbookViewId="0">
      <selection activeCell="A6" sqref="A6"/>
    </sheetView>
  </sheetViews>
  <sheetFormatPr defaultRowHeight="12.75"/>
  <cols>
    <col min="2" max="2" width="61.5703125" customWidth="1"/>
    <col min="3" max="3" width="17.85546875" customWidth="1"/>
  </cols>
  <sheetData>
    <row r="1" spans="1:3">
      <c r="C1" s="453" t="s">
        <v>520</v>
      </c>
    </row>
    <row r="2" spans="1:3" ht="15.75">
      <c r="B2" s="49" t="s">
        <v>610</v>
      </c>
    </row>
    <row r="3" spans="1:3" ht="15.75">
      <c r="B3" s="49" t="s">
        <v>389</v>
      </c>
    </row>
    <row r="5" spans="1:3">
      <c r="A5" s="987" t="s">
        <v>673</v>
      </c>
      <c r="B5" s="987"/>
      <c r="C5" s="987"/>
    </row>
    <row r="6" spans="1:3">
      <c r="A6" s="454"/>
      <c r="B6" s="454"/>
      <c r="C6" s="454"/>
    </row>
    <row r="7" spans="1:3" ht="13.5" thickBot="1"/>
    <row r="8" spans="1:3">
      <c r="B8" s="455" t="s">
        <v>521</v>
      </c>
      <c r="C8" s="456">
        <v>92504100</v>
      </c>
    </row>
    <row r="9" spans="1:3">
      <c r="B9" s="457" t="s">
        <v>671</v>
      </c>
      <c r="C9" s="458">
        <v>106304720</v>
      </c>
    </row>
    <row r="10" spans="1:3">
      <c r="B10" s="457" t="s">
        <v>528</v>
      </c>
      <c r="C10" s="458">
        <v>48826937</v>
      </c>
    </row>
    <row r="11" spans="1:3">
      <c r="B11" s="457" t="s">
        <v>529</v>
      </c>
      <c r="C11" s="458">
        <v>3553131</v>
      </c>
    </row>
    <row r="12" spans="1:3">
      <c r="B12" s="457" t="s">
        <v>530</v>
      </c>
      <c r="C12" s="458">
        <v>0</v>
      </c>
    </row>
    <row r="13" spans="1:3">
      <c r="B13" s="457" t="s">
        <v>522</v>
      </c>
      <c r="C13" s="458">
        <v>0</v>
      </c>
    </row>
    <row r="14" spans="1:3">
      <c r="B14" s="457" t="s">
        <v>523</v>
      </c>
      <c r="C14" s="458">
        <v>0</v>
      </c>
    </row>
    <row r="15" spans="1:3" ht="13.5" thickBot="1">
      <c r="B15" s="467" t="s">
        <v>527</v>
      </c>
      <c r="C15" s="468">
        <v>0</v>
      </c>
    </row>
    <row r="16" spans="1:3" ht="13.5" thickBot="1">
      <c r="B16" s="459" t="s">
        <v>524</v>
      </c>
      <c r="C16" s="460">
        <f>SUM(C8:C15)</f>
        <v>251188888</v>
      </c>
    </row>
    <row r="18" spans="1:8" ht="13.5" thickBot="1"/>
    <row r="19" spans="1:8" ht="15" thickBot="1">
      <c r="A19" s="988" t="s">
        <v>525</v>
      </c>
      <c r="B19" s="989"/>
      <c r="C19" s="990"/>
    </row>
    <row r="20" spans="1:8" ht="15">
      <c r="A20" s="461"/>
      <c r="B20" s="462" t="s">
        <v>658</v>
      </c>
      <c r="C20" s="189">
        <v>106304720</v>
      </c>
    </row>
    <row r="21" spans="1:8" ht="15">
      <c r="A21" s="463"/>
      <c r="B21" s="627" t="s">
        <v>511</v>
      </c>
      <c r="C21" s="189">
        <v>48529410</v>
      </c>
      <c r="E21" s="120"/>
      <c r="F21" s="120"/>
      <c r="G21" s="120"/>
      <c r="H21" s="120"/>
    </row>
    <row r="22" spans="1:8" ht="15">
      <c r="A22" s="463"/>
      <c r="B22" s="464" t="s">
        <v>596</v>
      </c>
      <c r="C22" s="448">
        <v>3553131</v>
      </c>
      <c r="E22" s="120"/>
      <c r="F22" s="120"/>
      <c r="G22" s="120"/>
      <c r="H22" s="120"/>
    </row>
    <row r="23" spans="1:8" ht="15">
      <c r="A23" s="463"/>
      <c r="B23" s="464" t="s">
        <v>659</v>
      </c>
      <c r="C23" s="181">
        <v>10000000</v>
      </c>
      <c r="E23" s="120"/>
      <c r="F23" s="120"/>
      <c r="G23" s="120"/>
      <c r="H23" s="120"/>
    </row>
    <row r="24" spans="1:8" ht="15">
      <c r="A24" s="463"/>
      <c r="B24" s="464" t="s">
        <v>661</v>
      </c>
      <c r="C24" s="181">
        <v>1500000</v>
      </c>
      <c r="E24" s="120"/>
      <c r="F24" s="120"/>
      <c r="G24" s="120"/>
      <c r="H24" s="120"/>
    </row>
    <row r="25" spans="1:8" ht="15">
      <c r="A25" s="463"/>
      <c r="B25" s="464" t="s">
        <v>660</v>
      </c>
      <c r="C25" s="181">
        <v>6500000</v>
      </c>
      <c r="E25" s="120"/>
      <c r="F25" s="120"/>
      <c r="G25" s="120"/>
      <c r="H25" s="120"/>
    </row>
    <row r="26" spans="1:8" ht="15">
      <c r="A26" s="465"/>
      <c r="B26" s="464" t="s">
        <v>670</v>
      </c>
      <c r="C26" s="181">
        <v>167640</v>
      </c>
      <c r="E26" s="120"/>
      <c r="F26" s="120"/>
      <c r="G26" s="120"/>
      <c r="H26" s="120"/>
    </row>
    <row r="27" spans="1:8" ht="15">
      <c r="A27" s="465"/>
      <c r="B27" s="464" t="s">
        <v>672</v>
      </c>
      <c r="C27" s="181">
        <v>340200</v>
      </c>
      <c r="E27" s="120"/>
      <c r="F27" s="120"/>
      <c r="G27" s="120"/>
      <c r="H27" s="120"/>
    </row>
    <row r="28" spans="1:8" ht="15.75" thickBot="1">
      <c r="A28" s="465"/>
      <c r="B28" s="628" t="s">
        <v>597</v>
      </c>
      <c r="C28" s="181">
        <v>256448</v>
      </c>
      <c r="E28" s="120"/>
      <c r="F28" s="120"/>
      <c r="G28" s="120"/>
      <c r="H28" s="120"/>
    </row>
    <row r="29" spans="1:8" ht="15" thickBot="1">
      <c r="A29" s="991" t="s">
        <v>526</v>
      </c>
      <c r="B29" s="992"/>
      <c r="C29" s="466">
        <f>SUM(C20:C28)</f>
        <v>177151549</v>
      </c>
    </row>
  </sheetData>
  <mergeCells count="3">
    <mergeCell ref="A5:C5"/>
    <mergeCell ref="A19:C19"/>
    <mergeCell ref="A29:B29"/>
  </mergeCells>
  <phoneticPr fontId="33" type="noConversion"/>
  <pageMargins left="0.59055118110236227" right="0.59055118110236227" top="0.98425196850393704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8</vt:i4>
      </vt:variant>
    </vt:vector>
  </HeadingPairs>
  <TitlesOfParts>
    <vt:vector size="16" baseType="lpstr">
      <vt:lpstr>Mérleg(önkormányzat 2023)</vt:lpstr>
      <vt:lpstr>Bevételek(önkormányzat 2023</vt:lpstr>
      <vt:lpstr>Bevételek COFOG szerint 2023</vt:lpstr>
      <vt:lpstr>Kiadások(önkormányzat 2023)</vt:lpstr>
      <vt:lpstr>Kiadások COFOG szerint</vt:lpstr>
      <vt:lpstr>Kiadások részletes COFOG</vt:lpstr>
      <vt:lpstr>Kiadások COFOG összesítő</vt:lpstr>
      <vt:lpstr>Pénzmaradvány 2020</vt:lpstr>
      <vt:lpstr>'Bevételek COFOG szerint 2023'!Nyomtatási_terület</vt:lpstr>
      <vt:lpstr>'Bevételek(önkormányzat 2023'!Nyomtatási_terület</vt:lpstr>
      <vt:lpstr>'Kiadások COFOG összesítő'!Nyomtatási_terület</vt:lpstr>
      <vt:lpstr>'Kiadások COFOG szerint'!Nyomtatási_terület</vt:lpstr>
      <vt:lpstr>'Kiadások részletes COFOG'!Nyomtatási_terület</vt:lpstr>
      <vt:lpstr>'Kiadások(önkormányzat 2023)'!Nyomtatási_terület</vt:lpstr>
      <vt:lpstr>'Mérleg(önkormányzat 2023)'!Nyomtatási_terület</vt:lpstr>
      <vt:lpstr>'Pénzmaradvány 2020'!Nyomtatási_terület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SzZsuzsi</dc:creator>
  <dc:description/>
  <cp:lastModifiedBy>Balázs Márta</cp:lastModifiedBy>
  <cp:revision>7</cp:revision>
  <cp:lastPrinted>2023-05-18T06:03:48Z</cp:lastPrinted>
  <dcterms:created xsi:type="dcterms:W3CDTF">2016-01-02T07:45:43Z</dcterms:created>
  <dcterms:modified xsi:type="dcterms:W3CDTF">2023-05-18T13:08:33Z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