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5.30\"/>
    </mc:Choice>
  </mc:AlternateContent>
  <workbookProtection workbookAlgorithmName="SHA-512" workbookHashValue="41eNg3EFLqnhzcuEC64iVMa9P0WfXiU3q88ju0mSafrPde/rraSoCRJfLW3Hk9d9Ouhn0E2Y2mronrS18IXefQ==" workbookSaltValue="U0+yVPXL8MY5pHRGxj20EQ==" workbookSpinCount="100000" lockStructure="1"/>
  <bookViews>
    <workbookView xWindow="0" yWindow="0" windowWidth="28800" windowHeight="11940"/>
  </bookViews>
  <sheets>
    <sheet name="Mérleg(Óvoda 2023)" sheetId="4" r:id="rId1"/>
    <sheet name="Bevételek(Óvoda 2023)" sheetId="7" r:id="rId2"/>
    <sheet name="Bevételek COFOG" sheetId="2" state="hidden" r:id="rId3"/>
    <sheet name="Kiadások(Óvoda 2020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szerint'!$A$1:$A$96</definedName>
    <definedName name="_xlnm.Print_Area" localSheetId="2">'Bevételek COFOG'!$A$1:$G$31</definedName>
    <definedName name="_xlnm.Print_Area" localSheetId="1">'Bevételek(Óvoda 2023)'!$A$1:$G$21</definedName>
    <definedName name="_xlnm.Print_Area" localSheetId="4">'Kiadások COFOG szerint'!$A$1:$F$96</definedName>
    <definedName name="_xlnm.Print_Area" localSheetId="3">'Kiadások(Óvoda 2020)'!$A$1:$G$47</definedName>
    <definedName name="_xlnm.Print_Area" localSheetId="0">'Mérleg(Óvoda 2023)'!$A$1:$L$30</definedName>
  </definedNames>
  <calcPr calcId="162913"/>
</workbook>
</file>

<file path=xl/calcChain.xml><?xml version="1.0" encoding="utf-8"?>
<calcChain xmlns="http://schemas.openxmlformats.org/spreadsheetml/2006/main">
  <c r="G95" i="8" l="1"/>
  <c r="F11" i="2" l="1"/>
  <c r="J97" i="8" l="1"/>
  <c r="G27" i="8"/>
  <c r="G30" i="8"/>
  <c r="D15" i="4"/>
  <c r="F15" i="4"/>
  <c r="C16" i="7"/>
  <c r="D16" i="7"/>
  <c r="F16" i="7"/>
  <c r="E35" i="8"/>
  <c r="M14" i="2" l="1"/>
  <c r="F10" i="2"/>
  <c r="D13" i="2"/>
  <c r="C20" i="3"/>
  <c r="C15" i="7"/>
  <c r="C14" i="7"/>
  <c r="C12" i="7"/>
  <c r="C10" i="2"/>
  <c r="C13" i="7" s="1"/>
  <c r="G153" i="8" l="1"/>
  <c r="G47" i="8"/>
  <c r="G14" i="8"/>
  <c r="G77" i="8" l="1"/>
  <c r="G161" i="8"/>
  <c r="G160" i="8"/>
  <c r="G151" i="8"/>
  <c r="G152" i="8"/>
  <c r="G150" i="8"/>
  <c r="G149" i="8"/>
  <c r="G147" i="8"/>
  <c r="G148" i="8"/>
  <c r="G146" i="8"/>
  <c r="G145" i="8"/>
  <c r="G131" i="8"/>
  <c r="G130" i="8"/>
  <c r="G124" i="8"/>
  <c r="G123" i="8"/>
  <c r="G61" i="8"/>
  <c r="G60" i="8"/>
  <c r="G44" i="8"/>
  <c r="G45" i="8"/>
  <c r="G46" i="8"/>
  <c r="G49" i="8"/>
  <c r="G50" i="8"/>
  <c r="G51" i="8"/>
  <c r="G52" i="8"/>
  <c r="G43" i="8"/>
  <c r="H144" i="8" l="1"/>
  <c r="H42" i="8"/>
  <c r="G29" i="8"/>
  <c r="G28" i="8"/>
  <c r="G25" i="8" l="1"/>
  <c r="G24" i="8"/>
  <c r="G6" i="8"/>
  <c r="G7" i="8"/>
  <c r="G8" i="8"/>
  <c r="G9" i="8"/>
  <c r="G10" i="8"/>
  <c r="G11" i="8"/>
  <c r="G13" i="8"/>
  <c r="G15" i="8"/>
  <c r="G16" i="8"/>
  <c r="G12" i="8"/>
  <c r="G102" i="8"/>
  <c r="G80" i="8"/>
  <c r="G79" i="8"/>
  <c r="G106" i="8"/>
  <c r="G104" i="8"/>
  <c r="G101" i="8"/>
  <c r="G91" i="8"/>
  <c r="G89" i="8"/>
  <c r="G82" i="8"/>
  <c r="G81" i="8" s="1"/>
  <c r="H5" i="8" l="1"/>
  <c r="G78" i="8"/>
  <c r="J14" i="2" l="1"/>
  <c r="G169" i="8"/>
  <c r="F92" i="5"/>
  <c r="F91" i="5"/>
  <c r="G71" i="8"/>
  <c r="F37" i="5"/>
  <c r="F36" i="5"/>
  <c r="C10" i="3"/>
  <c r="J87" i="8"/>
  <c r="J85" i="8"/>
  <c r="J86" i="8"/>
  <c r="F11" i="5"/>
  <c r="D11" i="5" s="1"/>
  <c r="F85" i="5"/>
  <c r="F20" i="5"/>
  <c r="F19" i="5"/>
  <c r="E69" i="8"/>
  <c r="D92" i="5" l="1"/>
  <c r="E92" i="5"/>
  <c r="D85" i="5"/>
  <c r="D10" i="3" s="1"/>
  <c r="E85" i="5"/>
  <c r="E10" i="3" s="1"/>
  <c r="D37" i="5"/>
  <c r="E37" i="5"/>
  <c r="E20" i="5"/>
  <c r="F20" i="3"/>
  <c r="E20" i="3" s="1"/>
  <c r="F38" i="5"/>
  <c r="F10" i="3"/>
  <c r="E167" i="8"/>
  <c r="F77" i="5"/>
  <c r="E77" i="5" s="1"/>
  <c r="F76" i="5"/>
  <c r="E137" i="8"/>
  <c r="G37" i="8" l="1"/>
  <c r="H122" i="8" l="1"/>
  <c r="F12" i="7" l="1"/>
  <c r="F14" i="7"/>
  <c r="F15" i="7"/>
  <c r="F13" i="7" s="1"/>
  <c r="D24" i="2"/>
  <c r="D25" i="2"/>
  <c r="D23" i="2"/>
  <c r="D12" i="2"/>
  <c r="D11" i="2"/>
  <c r="E11" i="2"/>
  <c r="E12" i="2"/>
  <c r="E9" i="2"/>
  <c r="E10" i="2" l="1"/>
  <c r="D9" i="2"/>
  <c r="J115" i="8" l="1"/>
  <c r="F18" i="4"/>
  <c r="G114" i="8"/>
  <c r="G117" i="8" l="1"/>
  <c r="G107" i="8" l="1"/>
  <c r="F56" i="5" s="1"/>
  <c r="J106" i="8"/>
  <c r="J104" i="8"/>
  <c r="J100" i="8"/>
  <c r="J102" i="8"/>
  <c r="J99" i="8"/>
  <c r="J93" i="8"/>
  <c r="J94" i="8"/>
  <c r="J95" i="8"/>
  <c r="F50" i="5"/>
  <c r="J89" i="8"/>
  <c r="J84" i="8"/>
  <c r="J79" i="8"/>
  <c r="F11" i="4"/>
  <c r="F9" i="4"/>
  <c r="J82" i="8"/>
  <c r="G127" i="8"/>
  <c r="F72" i="5" s="1"/>
  <c r="G157" i="8"/>
  <c r="G21" i="8"/>
  <c r="D34" i="3"/>
  <c r="D35" i="3" s="1"/>
  <c r="C34" i="3"/>
  <c r="C35" i="3" s="1"/>
  <c r="F89" i="5"/>
  <c r="F86" i="5"/>
  <c r="F84" i="5"/>
  <c r="F83" i="5"/>
  <c r="F74" i="5"/>
  <c r="F71" i="5"/>
  <c r="E71" i="5" s="1"/>
  <c r="F70" i="5"/>
  <c r="F69" i="5"/>
  <c r="F63" i="5"/>
  <c r="E63" i="5" s="1"/>
  <c r="F62" i="5"/>
  <c r="E62" i="5" s="1"/>
  <c r="F60" i="5"/>
  <c r="F61" i="5" s="1"/>
  <c r="F58" i="5"/>
  <c r="F43" i="5"/>
  <c r="F34" i="5"/>
  <c r="F29" i="5"/>
  <c r="E29" i="5" s="1"/>
  <c r="F30" i="5"/>
  <c r="F28" i="5"/>
  <c r="F11" i="3" s="1"/>
  <c r="F27" i="5"/>
  <c r="F26" i="5"/>
  <c r="D20" i="5"/>
  <c r="D19" i="5"/>
  <c r="F17" i="5"/>
  <c r="D17" i="5" s="1"/>
  <c r="F12" i="5"/>
  <c r="D12" i="5" s="1"/>
  <c r="F13" i="5"/>
  <c r="D13" i="5" s="1"/>
  <c r="F10" i="5"/>
  <c r="D10" i="5" s="1"/>
  <c r="G59" i="8"/>
  <c r="F32" i="5" s="1"/>
  <c r="E32" i="5" s="1"/>
  <c r="G57" i="8"/>
  <c r="G63" i="8"/>
  <c r="F33" i="5" s="1"/>
  <c r="G23" i="8"/>
  <c r="G32" i="8" s="1"/>
  <c r="F9" i="5"/>
  <c r="G139" i="8"/>
  <c r="G113" i="8"/>
  <c r="D77" i="8"/>
  <c r="C77" i="8"/>
  <c r="E77" i="8"/>
  <c r="D61" i="5"/>
  <c r="C61" i="5"/>
  <c r="F44" i="5" l="1"/>
  <c r="E43" i="5"/>
  <c r="D21" i="5"/>
  <c r="F14" i="5"/>
  <c r="D14" i="5" s="1"/>
  <c r="G38" i="8"/>
  <c r="F31" i="5"/>
  <c r="F35" i="5" s="1"/>
  <c r="G66" i="8"/>
  <c r="E68" i="8" s="1"/>
  <c r="D9" i="5"/>
  <c r="F15" i="5"/>
  <c r="D15" i="5" s="1"/>
  <c r="F8" i="3"/>
  <c r="F87" i="5"/>
  <c r="J91" i="8"/>
  <c r="G90" i="8"/>
  <c r="F48" i="5" s="1"/>
  <c r="G159" i="8"/>
  <c r="G164" i="8" s="1"/>
  <c r="G170" i="8" s="1"/>
  <c r="G96" i="8"/>
  <c r="F53" i="5" s="1"/>
  <c r="G103" i="8"/>
  <c r="F55" i="5" s="1"/>
  <c r="G98" i="8"/>
  <c r="F52" i="5"/>
  <c r="F51" i="5"/>
  <c r="G88" i="8"/>
  <c r="F47" i="5" s="1"/>
  <c r="F46" i="5"/>
  <c r="F45" i="5"/>
  <c r="G92" i="8"/>
  <c r="F49" i="5" s="1"/>
  <c r="F16" i="5"/>
  <c r="J80" i="8"/>
  <c r="J83" i="8"/>
  <c r="F13" i="3"/>
  <c r="F17" i="3"/>
  <c r="F64" i="5"/>
  <c r="F9" i="3"/>
  <c r="F12" i="3"/>
  <c r="F34" i="3"/>
  <c r="G129" i="8"/>
  <c r="G134" i="8" s="1"/>
  <c r="E136" i="8" s="1"/>
  <c r="C59" i="5"/>
  <c r="D14" i="7"/>
  <c r="F19" i="3" l="1"/>
  <c r="E44" i="5"/>
  <c r="F14" i="3"/>
  <c r="F18" i="5"/>
  <c r="F54" i="5"/>
  <c r="G111" i="8"/>
  <c r="G118" i="8" s="1"/>
  <c r="E166" i="8"/>
  <c r="F88" i="5"/>
  <c r="F16" i="3"/>
  <c r="D16" i="5"/>
  <c r="D18" i="5" s="1"/>
  <c r="D22" i="5" s="1"/>
  <c r="G72" i="8"/>
  <c r="E34" i="8"/>
  <c r="J109" i="8"/>
  <c r="F57" i="5" s="1"/>
  <c r="F35" i="3"/>
  <c r="L17" i="4"/>
  <c r="G140" i="8"/>
  <c r="F73" i="5"/>
  <c r="G172" i="8" l="1"/>
  <c r="F59" i="5"/>
  <c r="F65" i="5" s="1"/>
  <c r="F75" i="5"/>
  <c r="F15" i="3"/>
  <c r="E59" i="5" l="1"/>
  <c r="F18" i="3"/>
  <c r="L9" i="4" s="1"/>
  <c r="C13" i="4"/>
  <c r="D15" i="7"/>
  <c r="D14" i="4" s="1"/>
  <c r="C14" i="4"/>
  <c r="D12" i="7"/>
  <c r="D18" i="4" s="1"/>
  <c r="C18" i="4"/>
  <c r="C12" i="4"/>
  <c r="D10" i="7"/>
  <c r="D11" i="4" s="1"/>
  <c r="C11" i="4"/>
  <c r="C10" i="4"/>
  <c r="C9" i="4"/>
  <c r="C26" i="2"/>
  <c r="F19" i="2"/>
  <c r="C19" i="2"/>
  <c r="D8" i="7"/>
  <c r="D9" i="4" s="1"/>
  <c r="C17" i="3"/>
  <c r="D17" i="3" s="1"/>
  <c r="C16" i="3"/>
  <c r="D16" i="3" s="1"/>
  <c r="C37" i="3"/>
  <c r="C36" i="3"/>
  <c r="C28" i="3"/>
  <c r="C29" i="3"/>
  <c r="C30" i="3"/>
  <c r="C31" i="3"/>
  <c r="C32" i="3"/>
  <c r="C27" i="3"/>
  <c r="C24" i="3"/>
  <c r="C25" i="3"/>
  <c r="C26" i="3"/>
  <c r="C23" i="3"/>
  <c r="C22" i="3"/>
  <c r="C19" i="3"/>
  <c r="C21" i="3" s="1"/>
  <c r="I10" i="4" s="1"/>
  <c r="C15" i="3"/>
  <c r="D15" i="3" s="1"/>
  <c r="C14" i="3"/>
  <c r="D14" i="3" s="1"/>
  <c r="C13" i="3"/>
  <c r="D13" i="3" s="1"/>
  <c r="C12" i="3"/>
  <c r="D12" i="3" s="1"/>
  <c r="C11" i="3"/>
  <c r="D11" i="3" s="1"/>
  <c r="C9" i="3"/>
  <c r="D9" i="3" s="1"/>
  <c r="C8" i="3"/>
  <c r="D8" i="3" s="1"/>
  <c r="D91" i="5"/>
  <c r="D93" i="5" s="1"/>
  <c r="E91" i="5"/>
  <c r="E86" i="5"/>
  <c r="E88" i="5"/>
  <c r="E83" i="5"/>
  <c r="D84" i="5"/>
  <c r="D86" i="5"/>
  <c r="D87" i="5"/>
  <c r="D88" i="5"/>
  <c r="D89" i="5"/>
  <c r="D83" i="5"/>
  <c r="D90" i="5" l="1"/>
  <c r="D94" i="5" s="1"/>
  <c r="D19" i="2"/>
  <c r="D18" i="3"/>
  <c r="C16" i="4"/>
  <c r="C19" i="4" s="1"/>
  <c r="C18" i="3"/>
  <c r="I9" i="4" s="1"/>
  <c r="K9" i="4" s="1"/>
  <c r="C33" i="3"/>
  <c r="I11" i="4" s="1"/>
  <c r="C38" i="3"/>
  <c r="I18" i="4" s="1"/>
  <c r="D13" i="4"/>
  <c r="E76" i="5"/>
  <c r="E73" i="5"/>
  <c r="E69" i="5"/>
  <c r="D76" i="5"/>
  <c r="D77" i="5"/>
  <c r="D20" i="3" s="1"/>
  <c r="D70" i="5"/>
  <c r="D71" i="5"/>
  <c r="D72" i="5"/>
  <c r="D73" i="5"/>
  <c r="D74" i="5"/>
  <c r="D69" i="5"/>
  <c r="D63" i="5"/>
  <c r="D62" i="5"/>
  <c r="E46" i="5"/>
  <c r="E47" i="5"/>
  <c r="E48" i="5"/>
  <c r="E49" i="5"/>
  <c r="E50" i="5"/>
  <c r="E51" i="5"/>
  <c r="E52" i="5"/>
  <c r="E53" i="5"/>
  <c r="E54" i="5"/>
  <c r="E55" i="5"/>
  <c r="E56" i="5"/>
  <c r="E57" i="5"/>
  <c r="E45" i="5"/>
  <c r="D49" i="5"/>
  <c r="D46" i="5"/>
  <c r="D47" i="5"/>
  <c r="D48" i="5"/>
  <c r="D50" i="5"/>
  <c r="D51" i="5"/>
  <c r="D52" i="5"/>
  <c r="D53" i="5"/>
  <c r="D54" i="5"/>
  <c r="D55" i="5"/>
  <c r="D56" i="5"/>
  <c r="D57" i="5"/>
  <c r="D58" i="5"/>
  <c r="D45" i="5"/>
  <c r="D43" i="5"/>
  <c r="D44" i="5" s="1"/>
  <c r="C44" i="5"/>
  <c r="E36" i="5"/>
  <c r="E19" i="5"/>
  <c r="D36" i="5"/>
  <c r="D38" i="5" s="1"/>
  <c r="D34" i="5"/>
  <c r="D26" i="5"/>
  <c r="D27" i="5"/>
  <c r="D28" i="5"/>
  <c r="D29" i="5"/>
  <c r="D30" i="5"/>
  <c r="D31" i="5"/>
  <c r="D32" i="5"/>
  <c r="D33" i="5"/>
  <c r="C35" i="5"/>
  <c r="E26" i="5"/>
  <c r="C21" i="5"/>
  <c r="C18" i="5"/>
  <c r="E9" i="5"/>
  <c r="E13" i="5"/>
  <c r="E15" i="5"/>
  <c r="D78" i="5" l="1"/>
  <c r="D75" i="5"/>
  <c r="D35" i="5"/>
  <c r="D39" i="5" s="1"/>
  <c r="D64" i="5"/>
  <c r="D59" i="5"/>
  <c r="C22" i="5"/>
  <c r="I16" i="4"/>
  <c r="I19" i="4" s="1"/>
  <c r="D79" i="5" l="1"/>
  <c r="D65" i="5"/>
  <c r="D96" i="5" s="1"/>
  <c r="E18" i="5"/>
  <c r="E35" i="5" l="1"/>
  <c r="F22" i="3" l="1"/>
  <c r="F23" i="3"/>
  <c r="F24" i="3"/>
  <c r="F25" i="3"/>
  <c r="E24" i="3" l="1"/>
  <c r="D24" i="3"/>
  <c r="E25" i="3"/>
  <c r="D25" i="3"/>
  <c r="E23" i="3"/>
  <c r="D23" i="3"/>
  <c r="E22" i="3"/>
  <c r="D22" i="3"/>
  <c r="E8" i="3" l="1"/>
  <c r="F14" i="4"/>
  <c r="F11" i="7"/>
  <c r="F90" i="5"/>
  <c r="F12" i="4" l="1"/>
  <c r="E15" i="3"/>
  <c r="C93" i="5" l="1"/>
  <c r="C90" i="5"/>
  <c r="E90" i="5" s="1"/>
  <c r="C78" i="5"/>
  <c r="C75" i="5"/>
  <c r="C64" i="5"/>
  <c r="C65" i="5" s="1"/>
  <c r="C38" i="5"/>
  <c r="C39" i="5" s="1"/>
  <c r="C39" i="3"/>
  <c r="C14" i="2"/>
  <c r="C17" i="7"/>
  <c r="E65" i="5" l="1"/>
  <c r="E64" i="5"/>
  <c r="C79" i="5"/>
  <c r="C96" i="5" s="1"/>
  <c r="E75" i="5"/>
  <c r="C28" i="2"/>
  <c r="C94" i="5"/>
  <c r="E12" i="7" l="1"/>
  <c r="F9" i="7"/>
  <c r="F37" i="3"/>
  <c r="E37" i="3" s="1"/>
  <c r="F36" i="3"/>
  <c r="E36" i="3" s="1"/>
  <c r="F32" i="3"/>
  <c r="D32" i="3" s="1"/>
  <c r="F31" i="3"/>
  <c r="D31" i="3" s="1"/>
  <c r="F30" i="3"/>
  <c r="F29" i="3"/>
  <c r="F28" i="3"/>
  <c r="F27" i="3"/>
  <c r="F26" i="3"/>
  <c r="E13" i="3"/>
  <c r="F10" i="4" l="1"/>
  <c r="F17" i="7"/>
  <c r="F13" i="4"/>
  <c r="E14" i="7"/>
  <c r="E26" i="3"/>
  <c r="D26" i="3"/>
  <c r="E30" i="3"/>
  <c r="D30" i="3"/>
  <c r="D37" i="3"/>
  <c r="E27" i="3"/>
  <c r="D27" i="3"/>
  <c r="E31" i="3"/>
  <c r="E28" i="3"/>
  <c r="D28" i="3"/>
  <c r="E29" i="3"/>
  <c r="D29" i="3"/>
  <c r="D36" i="3"/>
  <c r="D38" i="3" s="1"/>
  <c r="J18" i="4" s="1"/>
  <c r="F38" i="3"/>
  <c r="E13" i="7"/>
  <c r="F33" i="3"/>
  <c r="D19" i="3"/>
  <c r="F16" i="4" l="1"/>
  <c r="L11" i="4"/>
  <c r="K11" i="4" s="1"/>
  <c r="E33" i="3"/>
  <c r="L18" i="4"/>
  <c r="K18" i="4" s="1"/>
  <c r="E38" i="3"/>
  <c r="D33" i="3"/>
  <c r="F14" i="2"/>
  <c r="D10" i="2"/>
  <c r="D13" i="7" s="1"/>
  <c r="E18" i="3"/>
  <c r="F21" i="3"/>
  <c r="E21" i="3" s="1"/>
  <c r="E19" i="3"/>
  <c r="E17" i="7"/>
  <c r="F93" i="5"/>
  <c r="E93" i="5" s="1"/>
  <c r="F78" i="5"/>
  <c r="E78" i="5" s="1"/>
  <c r="F21" i="5"/>
  <c r="E21" i="5" s="1"/>
  <c r="J11" i="4" l="1"/>
  <c r="D14" i="2"/>
  <c r="E14" i="2"/>
  <c r="F39" i="3"/>
  <c r="E39" i="3" s="1"/>
  <c r="L10" i="4"/>
  <c r="K10" i="4" s="1"/>
  <c r="F94" i="5"/>
  <c r="E94" i="5" s="1"/>
  <c r="E38" i="5"/>
  <c r="F39" i="5"/>
  <c r="E39" i="5" s="1"/>
  <c r="D21" i="3"/>
  <c r="D39" i="3" s="1"/>
  <c r="J9" i="4"/>
  <c r="F79" i="5"/>
  <c r="E79" i="5" s="1"/>
  <c r="F22" i="5"/>
  <c r="F96" i="5" l="1"/>
  <c r="E96" i="5" s="1"/>
  <c r="J10" i="4"/>
  <c r="J16" i="4" s="1"/>
  <c r="J19" i="4" s="1"/>
  <c r="E22" i="5"/>
  <c r="E18" i="4"/>
  <c r="E13" i="4"/>
  <c r="F26" i="2"/>
  <c r="D11" i="7"/>
  <c r="D12" i="4" s="1"/>
  <c r="F28" i="2" l="1"/>
  <c r="F31" i="2" s="1"/>
  <c r="D26" i="2"/>
  <c r="D9" i="7"/>
  <c r="D10" i="4" l="1"/>
  <c r="D17" i="7"/>
  <c r="G174" i="8"/>
  <c r="E28" i="2"/>
  <c r="D28" i="2"/>
  <c r="D16" i="4" l="1"/>
  <c r="D19" i="4" s="1"/>
  <c r="L16" i="4"/>
  <c r="K16" i="4" s="1"/>
  <c r="L19" i="4" l="1"/>
  <c r="K19" i="4" s="1"/>
  <c r="E16" i="4" l="1"/>
  <c r="F19" i="4" l="1"/>
  <c r="E19" i="4" s="1"/>
</calcChain>
</file>

<file path=xl/sharedStrings.xml><?xml version="1.0" encoding="utf-8"?>
<sst xmlns="http://schemas.openxmlformats.org/spreadsheetml/2006/main" count="602" uniqueCount="193">
  <si>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</si>
  <si>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</si>
  <si>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</si>
  <si>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</si>
  <si>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</si>
  <si>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</si>
  <si>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</si>
  <si>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</si>
  <si>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</si>
  <si>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</si>
  <si>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</si>
  <si>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</si>
  <si>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</si>
  <si>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</si>
  <si>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</si>
  <si>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</si>
  <si>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</si>
  <si>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</si>
  <si>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</si>
  <si>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</si>
  <si>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</si>
  <si>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</si>
  <si>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</si>
  <si>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</si>
  <si>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</si>
  <si>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</si>
  <si>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</si>
  <si>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</si>
  <si>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</si>
  <si>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</si>
  <si>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</si>
  <si>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</si>
  <si>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</si>
  <si>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</si>
  <si>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</si>
  <si>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</si>
  <si>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</si>
  <si>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</si>
  <si>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</si>
  <si>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</si>
  <si>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</si>
  <si>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</si>
  <si>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</si>
  <si>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</si>
  <si>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</si>
  <si>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</si>
  <si>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</si>
  <si>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</si>
  <si>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</si>
  <si>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</si>
  <si>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</si>
  <si>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</si>
  <si>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</si>
  <si>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</si>
  <si>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</si>
  <si>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</si>
  <si>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</si>
  <si>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</si>
  <si>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</si>
  <si>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</si>
  <si>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</si>
  <si>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</si>
  <si>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</si>
  <si>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</si>
  <si>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</si>
  <si>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</si>
  <si>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</si>
  <si>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</si>
  <si>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</si>
  <si>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</si>
  <si>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</si>
  <si>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</si>
  <si>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</si>
  <si>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053221</t>
  </si>
  <si>
    <t>09161</t>
  </si>
  <si>
    <t>Tárgyévi működési bevételek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</si>
  <si>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</si>
  <si>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</si>
  <si>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</si>
  <si>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</si>
  <si>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</si>
  <si>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</si>
  <si>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</si>
  <si>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</si>
  <si>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</si>
  <si>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</si>
  <si>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</si>
  <si>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</si>
  <si>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</si>
  <si>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</si>
  <si>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</si>
  <si>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Bevételek kormányati funkciók (COFOG) szerinti bontásban</t>
  </si>
  <si>
    <t>-ebből fenntartói támogatás (Piliscsév Község Önk.)</t>
  </si>
  <si>
    <t xml:space="preserve">Egyéb működési célú támogatások bevételei államháztartáson belülről 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</si>
  <si>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</si>
  <si>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</si>
  <si>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</si>
  <si>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</si>
  <si>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</si>
  <si>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</si>
  <si>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</si>
  <si>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</si>
  <si>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</si>
  <si>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091110 - Óvodai nevelés, ellátás szakmai feladatai</t>
  </si>
  <si>
    <t>091130 - Nemzetiségi óvodai nevelés, ellátás szakmai feladatai</t>
  </si>
  <si>
    <t>Jubileumi jutalom</t>
  </si>
  <si>
    <t>0511061</t>
  </si>
  <si>
    <t>091140 - Óvodai nevelés, ellátás működtetési feladatai</t>
  </si>
  <si>
    <t>053361</t>
  </si>
  <si>
    <t xml:space="preserve">Egyéb szakmai szolgáltatások </t>
  </si>
  <si>
    <t>096015 - Gyermekétkeztetés köznevelési intézményben</t>
  </si>
  <si>
    <t>Egyéb szakmai szolgáltatások</t>
  </si>
  <si>
    <t>104031 - Gyermekek bölcsődében és mini bölcsődében történő ellátása</t>
  </si>
  <si>
    <t>051103</t>
  </si>
  <si>
    <t>Céljuttatás, projektprémium</t>
  </si>
  <si>
    <t>0511031</t>
  </si>
  <si>
    <t xml:space="preserve">Céljuttatás, projektrprémium </t>
  </si>
  <si>
    <t>Változás</t>
  </si>
  <si>
    <t>4 fő EP hj.; betegszabadság</t>
  </si>
  <si>
    <t>4 fő bankköltség hj., munkaruha 30000 Ft/fő/év</t>
  </si>
  <si>
    <t>051231</t>
  </si>
  <si>
    <t>Egyéb külső személyi juttatások teljesítése</t>
  </si>
  <si>
    <t>Közüzemii díjak teljesítése</t>
  </si>
  <si>
    <t>Munkavégzésre irányuló egyéb jogviszonyban nem saját foglalkoztatott.</t>
  </si>
  <si>
    <t>Egyéb külső személyi juttatások</t>
  </si>
  <si>
    <t>091110 - Óvoda nevelés, ellátás szakmai feladatai</t>
  </si>
  <si>
    <t>Elkülönített állami pénzalaptól működési célú támogatások bevételei</t>
  </si>
  <si>
    <t>094101</t>
  </si>
  <si>
    <t>Biztosítók által fizetett kártérítés teljesítése</t>
  </si>
  <si>
    <t>09410</t>
  </si>
  <si>
    <t>Biztosítók által fizetett kártérítés</t>
  </si>
  <si>
    <t>0916</t>
  </si>
  <si>
    <t>Működési célú támogatások</t>
  </si>
  <si>
    <t>Bölcsőde:</t>
  </si>
  <si>
    <t>Köznevelés:</t>
  </si>
  <si>
    <t>Tartalékok kiadásai</t>
  </si>
  <si>
    <t>055131</t>
  </si>
  <si>
    <t>Tartalékok</t>
  </si>
  <si>
    <t>bölcsödei normatíva:</t>
  </si>
  <si>
    <t>Hertlik-Zsalezsák Anna</t>
  </si>
  <si>
    <t>Mudra Magdolna</t>
  </si>
  <si>
    <t>Teberi Ágnes</t>
  </si>
  <si>
    <t>Wippelhauser Adél</t>
  </si>
  <si>
    <t>Mihovné Bor Ilona</t>
  </si>
  <si>
    <t>Juhászné Somogyi Éva Anikó</t>
  </si>
  <si>
    <t>Bartolen Istvánné</t>
  </si>
  <si>
    <t>EP</t>
  </si>
  <si>
    <t>Betegszabadság</t>
  </si>
  <si>
    <t>Vogyeraczki Mária</t>
  </si>
  <si>
    <t>Fenyő Imréné</t>
  </si>
  <si>
    <t>Mácsai Andrásné</t>
  </si>
  <si>
    <t>Flórián Krisztina Adrienn</t>
  </si>
  <si>
    <t>Vojczek Iván Gáborné</t>
  </si>
  <si>
    <t>Bankköltség hozzájárulás</t>
  </si>
  <si>
    <t>Köznevelési normatíva:</t>
  </si>
  <si>
    <t>munkaruha</t>
  </si>
  <si>
    <t>tisztítószer</t>
  </si>
  <si>
    <t>irodaszer</t>
  </si>
  <si>
    <t>055</t>
  </si>
  <si>
    <t>Ludové Noviny</t>
  </si>
  <si>
    <t>egyéb üzemeltetési anyag</t>
  </si>
  <si>
    <t>egyéb szakmai anyag</t>
  </si>
  <si>
    <t>Mobilinternet</t>
  </si>
  <si>
    <t>Telefonszámla</t>
  </si>
  <si>
    <t>EÜ alkalmassági</t>
  </si>
  <si>
    <t>Üzemorvos</t>
  </si>
  <si>
    <t>Hulladékgazdálkodás</t>
  </si>
  <si>
    <t>bankköltség</t>
  </si>
  <si>
    <t>ÁHK</t>
  </si>
  <si>
    <t>kötelező 2 %</t>
  </si>
  <si>
    <t>Piliscsévi "Aranykapu" Óvoda-Bölcsőde</t>
  </si>
  <si>
    <t>05260</t>
  </si>
  <si>
    <t>0511041</t>
  </si>
  <si>
    <t>Készenléti, ügyeleti, helyettesítési díj, túlóra, túlszolgálat teljesítése</t>
  </si>
  <si>
    <t>vízszűrőbetét</t>
  </si>
  <si>
    <t>tetőszigetelés</t>
  </si>
  <si>
    <t>SNI fejlesztés</t>
  </si>
  <si>
    <t>Kovácsné Hertlik Éva</t>
  </si>
  <si>
    <t>Továbbképzés</t>
  </si>
  <si>
    <t>Mácsai Renáta</t>
  </si>
  <si>
    <t>Nunkovics-Kovács Luca Csenge</t>
  </si>
  <si>
    <t>Tar Zoltánné</t>
  </si>
  <si>
    <t>Vojczek Orsolya</t>
  </si>
  <si>
    <t>ped1</t>
  </si>
  <si>
    <t>ped2</t>
  </si>
  <si>
    <t>I. sz módosítás</t>
  </si>
  <si>
    <t>-ebből 2023. évi bérkiegészítés</t>
  </si>
  <si>
    <t>bérkieg bölcsi</t>
  </si>
  <si>
    <t>bérkieg ovi</t>
  </si>
  <si>
    <t>Intézmény fin.(2023.bérintézkedés)</t>
  </si>
  <si>
    <t>-ebből 2023. évi bérintézkedés</t>
  </si>
  <si>
    <t>2023. évi I. sz előirányzat módosítás</t>
  </si>
  <si>
    <t>2023. évi I. számú előirányzat módosítás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</si>
</sst>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0.0%"/>
  </numFmts>
  <fonts count="29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name val="Arial"/>
      <family val="2"/>
      <charset val="238"/>
    </font>
    <font>
      <sz val="7"/>
      <color rgb="FF333333"/>
      <name val="Verdan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quotePrefix="1" applyFont="0" applyFill="0" applyBorder="0" applyAlignment="0">
      <protection locked="0"/>
    </xf>
    <xf numFmtId="9" fontId="9" fillId="0" borderId="0" quotePrefix="1" applyFont="0" applyFill="0" applyBorder="0" applyAlignment="0">
      <protection locked="0"/>
    </xf>
  </cellStyleXfs>
  <cellXfs count="501">
    <xf numFmtId="0" fontId="0" fillId="0" borderId="0" xfId="0"/>
    <xf numFmtId="0" fontId="8" fillId="0" borderId="11" xfId="0" applyFont="1" applyBorder="1" applyAlignment="1" applyProtection="1">
      <alignment vertical="center" wrapText="1" readingOrder="1"/>
      <protection locked="0"/>
    </xf>
    <xf numFmtId="0" fontId="8" fillId="0" borderId="5" xfId="0" applyFont="1" applyBorder="1" applyAlignment="1" applyProtection="1">
      <alignment vertical="center" wrapText="1" readingOrder="1"/>
      <protection locked="0"/>
    </xf>
    <xf numFmtId="0" fontId="11" fillId="8" borderId="0" xfId="0" applyFont="1" applyFill="1"/>
    <xf numFmtId="0" fontId="2" fillId="0" borderId="0" xfId="0" applyFont="1"/>
    <xf numFmtId="0" fontId="8" fillId="0" borderId="3" xfId="0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right"/>
    </xf>
    <xf numFmtId="3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15" xfId="0" applyNumberFormat="1" applyFont="1" applyBorder="1" applyAlignment="1" applyProtection="1">
      <alignment vertical="center" wrapText="1" readingOrder="1"/>
      <protection locked="0"/>
    </xf>
    <xf numFmtId="3" fontId="8" fillId="0" borderId="20" xfId="0" applyNumberFormat="1" applyFont="1" applyBorder="1" applyAlignment="1" applyProtection="1">
      <alignment vertical="center" wrapText="1" readingOrder="1"/>
      <protection locked="0"/>
    </xf>
    <xf numFmtId="3" fontId="8" fillId="0" borderId="16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3" fillId="0" borderId="0" xfId="0" applyNumberFormat="1" applyFont="1"/>
    <xf numFmtId="0" fontId="7" fillId="12" borderId="15" xfId="0" applyFont="1" applyFill="1" applyBorder="1" applyAlignment="1" applyProtection="1">
      <alignment horizontal="center" vertical="center" wrapText="1" readingOrder="1"/>
      <protection locked="0"/>
    </xf>
    <xf numFmtId="0" fontId="7" fillId="12" borderId="19" xfId="0" applyFont="1" applyFill="1" applyBorder="1" applyAlignment="1" applyProtection="1">
      <alignment horizontal="center" vertical="center" wrapText="1" readingOrder="1"/>
      <protection locked="0"/>
    </xf>
    <xf numFmtId="0" fontId="3" fillId="12" borderId="26" xfId="0" applyFont="1" applyFill="1" applyBorder="1"/>
    <xf numFmtId="0" fontId="3" fillId="12" borderId="27" xfId="0" applyFont="1" applyFill="1" applyBorder="1"/>
    <xf numFmtId="3" fontId="3" fillId="12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49" fontId="8" fillId="0" borderId="3" xfId="0" applyNumberFormat="1" applyFont="1" applyBorder="1" applyAlignment="1" applyProtection="1">
      <alignment vertical="center" wrapText="1" readingOrder="1"/>
      <protection locked="0"/>
    </xf>
    <xf numFmtId="0" fontId="8" fillId="0" borderId="22" xfId="0" applyFont="1" applyBorder="1" applyAlignment="1" applyProtection="1">
      <alignment vertical="center" wrapText="1" readingOrder="1"/>
      <protection locked="0"/>
    </xf>
    <xf numFmtId="3" fontId="10" fillId="12" borderId="8" xfId="0" applyNumberFormat="1" applyFont="1" applyFill="1" applyBorder="1" applyAlignment="1" applyProtection="1">
      <alignment vertical="center" wrapText="1" readingOrder="1"/>
      <protection locked="0"/>
    </xf>
    <xf numFmtId="49" fontId="8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4" fillId="0" borderId="0" xfId="0" applyFont="1"/>
    <xf numFmtId="3" fontId="15" fillId="0" borderId="0" xfId="1" applyNumberFormat="1" applyFont="1" applyFill="1" applyBorder="1">
      <protection locked="0"/>
    </xf>
    <xf numFmtId="3" fontId="14" fillId="0" borderId="0" xfId="0" applyNumberFormat="1" applyFont="1"/>
    <xf numFmtId="0" fontId="7" fillId="12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29" xfId="0" applyFont="1" applyBorder="1" applyAlignment="1" applyProtection="1">
      <alignment vertical="center" wrapText="1" readingOrder="1"/>
      <protection locked="0"/>
    </xf>
    <xf numFmtId="0" fontId="8" fillId="0" borderId="31" xfId="0" applyFont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vertical="center" wrapText="1" readingOrder="1"/>
      <protection locked="0"/>
    </xf>
    <xf numFmtId="0" fontId="8" fillId="0" borderId="42" xfId="0" applyFont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vertical="center" wrapText="1" readingOrder="1"/>
      <protection locked="0"/>
    </xf>
    <xf numFmtId="49" fontId="8" fillId="0" borderId="11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0" fillId="12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/>
    <xf numFmtId="49" fontId="8" fillId="0" borderId="42" xfId="0" applyNumberFormat="1" applyFont="1" applyBorder="1" applyAlignment="1" applyProtection="1">
      <alignment vertical="center" wrapText="1" readingOrder="1"/>
      <protection locked="0"/>
    </xf>
    <xf numFmtId="3" fontId="8" fillId="0" borderId="44" xfId="0" applyNumberFormat="1" applyFont="1" applyBorder="1" applyAlignment="1" applyProtection="1">
      <alignment vertical="center" wrapText="1" readingOrder="1"/>
      <protection locked="0"/>
    </xf>
    <xf numFmtId="3" fontId="8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7" fillId="14" borderId="14" xfId="0" applyNumberFormat="1" applyFont="1" applyFill="1" applyBorder="1" applyAlignment="1" applyProtection="1">
      <alignment vertical="center" wrapText="1" readingOrder="1"/>
      <protection locked="0"/>
    </xf>
    <xf numFmtId="3" fontId="7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8" xfId="0" applyNumberFormat="1" applyFont="1" applyFill="1" applyBorder="1" applyAlignment="1" applyProtection="1">
      <alignment vertical="center" wrapText="1" readingOrder="1"/>
      <protection locked="0"/>
    </xf>
    <xf numFmtId="3" fontId="8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vertical="center" wrapText="1" readingOrder="1"/>
      <protection locked="0"/>
    </xf>
    <xf numFmtId="3" fontId="8" fillId="0" borderId="6" xfId="0" applyNumberFormat="1" applyFont="1" applyBorder="1" applyAlignment="1" applyProtection="1">
      <alignment vertical="center" wrapText="1" readingOrder="1"/>
      <protection locked="0"/>
    </xf>
    <xf numFmtId="3" fontId="7" fillId="14" borderId="7" xfId="0" applyNumberFormat="1" applyFont="1" applyFill="1" applyBorder="1" applyAlignment="1" applyProtection="1">
      <alignment vertical="center" wrapText="1" readingOrder="1"/>
      <protection locked="0"/>
    </xf>
    <xf numFmtId="0" fontId="8" fillId="0" borderId="9" xfId="0" applyFont="1" applyBorder="1" applyAlignment="1" applyProtection="1">
      <alignment vertical="center" wrapText="1" readingOrder="1"/>
      <protection locked="0"/>
    </xf>
    <xf numFmtId="3" fontId="10" fillId="12" borderId="50" xfId="0" applyNumberFormat="1" applyFont="1" applyFill="1" applyBorder="1" applyAlignment="1" applyProtection="1">
      <alignment vertical="center" wrapText="1" readingOrder="1"/>
      <protection locked="0"/>
    </xf>
    <xf numFmtId="0" fontId="16" fillId="0" borderId="0" xfId="0" applyFont="1" applyAlignment="1" applyProtection="1">
      <alignment horizontal="center" vertical="center" wrapText="1" readingOrder="1"/>
      <protection locked="0"/>
    </xf>
    <xf numFmtId="0" fontId="12" fillId="8" borderId="0" xfId="0" applyFont="1" applyFill="1"/>
    <xf numFmtId="49" fontId="8" fillId="0" borderId="9" xfId="0" applyNumberFormat="1" applyFont="1" applyBorder="1" applyAlignment="1" applyProtection="1">
      <alignment vertical="center" wrapText="1" readingOrder="1"/>
      <protection locked="0"/>
    </xf>
    <xf numFmtId="3" fontId="10" fillId="12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10" xfId="0" applyFont="1" applyBorder="1" applyAlignment="1" applyProtection="1">
      <alignment vertical="center" wrapText="1" readingOrder="1"/>
      <protection locked="0"/>
    </xf>
    <xf numFmtId="3" fontId="3" fillId="12" borderId="25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right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19" xfId="0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left" vertical="center" wrapText="1" shrinkToFit="1"/>
    </xf>
    <xf numFmtId="49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vertical="center" wrapText="1" shrinkToFit="1"/>
    </xf>
    <xf numFmtId="3" fontId="19" fillId="3" borderId="4" xfId="0" applyNumberFormat="1" applyFont="1" applyFill="1" applyBorder="1" applyAlignment="1">
      <alignment horizontal="center" vertical="center" wrapText="1" shrinkToFit="1"/>
    </xf>
    <xf numFmtId="3" fontId="19" fillId="3" borderId="16" xfId="0" applyNumberFormat="1" applyFont="1" applyFill="1" applyBorder="1" applyAlignment="1">
      <alignment vertical="center" wrapText="1" shrinkToFit="1"/>
    </xf>
    <xf numFmtId="49" fontId="19" fillId="3" borderId="6" xfId="0" applyNumberFormat="1" applyFont="1" applyFill="1" applyBorder="1" applyAlignment="1">
      <alignment vertical="center" wrapText="1" shrinkToFit="1"/>
    </xf>
    <xf numFmtId="3" fontId="19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18" fillId="4" borderId="8" xfId="0" applyNumberFormat="1" applyFont="1" applyFill="1" applyBorder="1"/>
    <xf numFmtId="3" fontId="18" fillId="4" borderId="7" xfId="0" applyNumberFormat="1" applyFont="1" applyFill="1" applyBorder="1" applyAlignment="1">
      <alignment horizontal="center"/>
    </xf>
    <xf numFmtId="49" fontId="19" fillId="0" borderId="9" xfId="0" applyNumberFormat="1" applyFont="1" applyBorder="1" applyAlignment="1">
      <alignment horizontal="left" vertical="center" wrapText="1" shrinkToFit="1"/>
    </xf>
    <xf numFmtId="0" fontId="19" fillId="0" borderId="10" xfId="0" applyFont="1" applyBorder="1" applyAlignment="1">
      <alignment horizontal="left" vertical="center" wrapText="1" shrinkToFit="1"/>
    </xf>
    <xf numFmtId="3" fontId="19" fillId="0" borderId="10" xfId="0" applyNumberFormat="1" applyFont="1" applyBorder="1" applyAlignment="1">
      <alignment horizontal="right" vertical="center" wrapText="1" shrinkToFit="1"/>
    </xf>
    <xf numFmtId="3" fontId="19" fillId="3" borderId="4" xfId="0" applyNumberFormat="1" applyFont="1" applyFill="1" applyBorder="1" applyAlignment="1">
      <alignment horizontal="right" vertical="center" wrapText="1" shrinkToFit="1"/>
    </xf>
    <xf numFmtId="3" fontId="19" fillId="0" borderId="17" xfId="0" applyNumberFormat="1" applyFont="1" applyBorder="1" applyAlignment="1">
      <alignment horizontal="right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3" fontId="19" fillId="0" borderId="4" xfId="0" applyNumberFormat="1" applyFont="1" applyBorder="1" applyAlignment="1">
      <alignment horizontal="right" vertical="center" wrapText="1" shrinkToFit="1"/>
    </xf>
    <xf numFmtId="3" fontId="19" fillId="0" borderId="16" xfId="0" applyNumberFormat="1" applyFont="1" applyBorder="1" applyAlignment="1">
      <alignment horizontal="right" vertical="center" wrapText="1" shrinkToFit="1"/>
    </xf>
    <xf numFmtId="3" fontId="19" fillId="3" borderId="16" xfId="0" applyNumberFormat="1" applyFont="1" applyFill="1" applyBorder="1" applyAlignment="1">
      <alignment horizontal="right" vertical="center" wrapText="1" shrinkToFit="1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/>
    </xf>
    <xf numFmtId="3" fontId="18" fillId="4" borderId="8" xfId="0" applyNumberFormat="1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19" xfId="0" applyFont="1" applyFill="1" applyBorder="1" applyAlignment="1">
      <alignment horizontal="center" vertical="center" wrapText="1" shrinkToFit="1"/>
    </xf>
    <xf numFmtId="49" fontId="22" fillId="3" borderId="3" xfId="0" applyNumberFormat="1" applyFont="1" applyFill="1" applyBorder="1" applyAlignment="1">
      <alignment vertical="center" wrapText="1" shrinkToFit="1"/>
    </xf>
    <xf numFmtId="49" fontId="22" fillId="0" borderId="4" xfId="0" applyNumberFormat="1" applyFont="1" applyBorder="1" applyAlignment="1">
      <alignment horizontal="left" vertical="center" wrapText="1" shrinkToFit="1"/>
    </xf>
    <xf numFmtId="3" fontId="22" fillId="0" borderId="30" xfId="0" applyNumberFormat="1" applyFont="1" applyBorder="1" applyAlignment="1">
      <alignment horizontal="right" vertical="center" wrapText="1" shrinkToFit="1"/>
    </xf>
    <xf numFmtId="3" fontId="22" fillId="0" borderId="4" xfId="0" applyNumberFormat="1" applyFont="1" applyBorder="1" applyAlignment="1">
      <alignment horizontal="center" vertical="center" wrapText="1" shrinkToFit="1"/>
    </xf>
    <xf numFmtId="3" fontId="22" fillId="0" borderId="16" xfId="0" applyNumberFormat="1" applyFont="1" applyBorder="1" applyAlignment="1">
      <alignment horizontal="right" vertical="center" wrapText="1" shrinkToFit="1"/>
    </xf>
    <xf numFmtId="49" fontId="22" fillId="3" borderId="11" xfId="0" applyNumberFormat="1" applyFont="1" applyFill="1" applyBorder="1" applyAlignment="1">
      <alignment vertical="center" wrapText="1" shrinkToFit="1"/>
    </xf>
    <xf numFmtId="49" fontId="22" fillId="0" borderId="2" xfId="0" applyNumberFormat="1" applyFont="1" applyBorder="1" applyAlignment="1">
      <alignment horizontal="left" vertical="center" wrapText="1" shrinkToFit="1"/>
    </xf>
    <xf numFmtId="3" fontId="22" fillId="0" borderId="15" xfId="0" applyNumberFormat="1" applyFont="1" applyBorder="1" applyAlignment="1">
      <alignment horizontal="right" vertical="center" wrapText="1" shrinkToFit="1"/>
    </xf>
    <xf numFmtId="49" fontId="22" fillId="3" borderId="5" xfId="0" applyNumberFormat="1" applyFont="1" applyFill="1" applyBorder="1" applyAlignment="1">
      <alignment vertical="center" wrapText="1" shrinkToFit="1"/>
    </xf>
    <xf numFmtId="49" fontId="22" fillId="0" borderId="6" xfId="0" applyNumberFormat="1" applyFont="1" applyBorder="1" applyAlignment="1">
      <alignment horizontal="left" vertical="center" wrapText="1" shrinkToFit="1"/>
    </xf>
    <xf numFmtId="3" fontId="23" fillId="11" borderId="8" xfId="0" applyNumberFormat="1" applyFont="1" applyFill="1" applyBorder="1" applyAlignment="1">
      <alignment horizontal="right" vertical="center" wrapText="1" shrinkToFit="1"/>
    </xf>
    <xf numFmtId="3" fontId="23" fillId="11" borderId="7" xfId="0" applyNumberFormat="1" applyFont="1" applyFill="1" applyBorder="1" applyAlignment="1">
      <alignment horizontal="center" vertical="center" wrapText="1" shrinkToFit="1"/>
    </xf>
    <xf numFmtId="49" fontId="22" fillId="3" borderId="2" xfId="0" applyNumberFormat="1" applyFont="1" applyFill="1" applyBorder="1" applyAlignment="1">
      <alignment vertical="center" wrapText="1" shrinkToFit="1"/>
    </xf>
    <xf numFmtId="49" fontId="22" fillId="3" borderId="30" xfId="0" applyNumberFormat="1" applyFont="1" applyFill="1" applyBorder="1" applyAlignment="1">
      <alignment horizontal="left" vertical="center" wrapText="1" shrinkToFit="1"/>
    </xf>
    <xf numFmtId="3" fontId="22" fillId="3" borderId="30" xfId="0" applyNumberFormat="1" applyFont="1" applyFill="1" applyBorder="1" applyAlignment="1">
      <alignment horizontal="right" vertical="center" wrapText="1" shrinkToFit="1"/>
    </xf>
    <xf numFmtId="3" fontId="22" fillId="3" borderId="4" xfId="0" applyNumberFormat="1" applyFont="1" applyFill="1" applyBorder="1" applyAlignment="1">
      <alignment horizontal="center" vertical="center" wrapText="1" shrinkToFit="1"/>
    </xf>
    <xf numFmtId="3" fontId="22" fillId="3" borderId="16" xfId="0" applyNumberFormat="1" applyFont="1" applyFill="1" applyBorder="1" applyAlignment="1">
      <alignment horizontal="right" vertical="center" wrapText="1" shrinkToFit="1"/>
    </xf>
    <xf numFmtId="49" fontId="22" fillId="3" borderId="29" xfId="0" applyNumberFormat="1" applyFont="1" applyFill="1" applyBorder="1" applyAlignment="1">
      <alignment horizontal="left" vertical="center" wrapText="1" shrinkToFit="1"/>
    </xf>
    <xf numFmtId="3" fontId="22" fillId="3" borderId="29" xfId="0" applyNumberFormat="1" applyFont="1" applyFill="1" applyBorder="1" applyAlignment="1">
      <alignment horizontal="right" vertical="center" wrapText="1" shrinkToFit="1"/>
    </xf>
    <xf numFmtId="3" fontId="22" fillId="3" borderId="15" xfId="0" applyNumberFormat="1" applyFont="1" applyFill="1" applyBorder="1" applyAlignment="1">
      <alignment horizontal="right" vertical="center" wrapText="1" shrinkToFit="1"/>
    </xf>
    <xf numFmtId="3" fontId="22" fillId="0" borderId="29" xfId="0" applyNumberFormat="1" applyFont="1" applyBorder="1" applyAlignment="1">
      <alignment horizontal="right" vertical="center" wrapText="1" shrinkToFit="1"/>
    </xf>
    <xf numFmtId="49" fontId="22" fillId="0" borderId="29" xfId="0" applyNumberFormat="1" applyFont="1" applyBorder="1" applyAlignment="1">
      <alignment horizontal="left" vertical="center" wrapText="1" shrinkToFit="1"/>
    </xf>
    <xf numFmtId="49" fontId="22" fillId="0" borderId="2" xfId="0" applyNumberFormat="1" applyFont="1" applyBorder="1" applyAlignment="1">
      <alignment vertical="center" wrapText="1" shrinkToFit="1"/>
    </xf>
    <xf numFmtId="49" fontId="22" fillId="0" borderId="11" xfId="0" applyNumberFormat="1" applyFont="1" applyBorder="1" applyAlignment="1">
      <alignment vertical="center" wrapText="1" shrinkToFit="1"/>
    </xf>
    <xf numFmtId="49" fontId="22" fillId="0" borderId="5" xfId="0" applyNumberFormat="1" applyFont="1" applyBorder="1" applyAlignment="1">
      <alignment vertical="center" wrapText="1" shrinkToFit="1"/>
    </xf>
    <xf numFmtId="3" fontId="22" fillId="0" borderId="20" xfId="0" applyNumberFormat="1" applyFont="1" applyBorder="1" applyAlignment="1">
      <alignment horizontal="right" vertical="center" wrapText="1" shrinkToFit="1"/>
    </xf>
    <xf numFmtId="3" fontId="21" fillId="10" borderId="7" xfId="0" applyNumberFormat="1" applyFont="1" applyFill="1" applyBorder="1"/>
    <xf numFmtId="3" fontId="21" fillId="10" borderId="7" xfId="0" applyNumberFormat="1" applyFont="1" applyFill="1" applyBorder="1" applyAlignment="1">
      <alignment horizontal="center"/>
    </xf>
    <xf numFmtId="49" fontId="22" fillId="0" borderId="21" xfId="0" applyNumberFormat="1" applyFont="1" applyBorder="1" applyAlignment="1">
      <alignment horizontal="left" vertical="center" wrapText="1" shrinkToFit="1"/>
    </xf>
    <xf numFmtId="49" fontId="22" fillId="0" borderId="12" xfId="0" applyNumberFormat="1" applyFont="1" applyBorder="1" applyAlignment="1">
      <alignment horizontal="left" vertical="center" wrapText="1" shrinkToFit="1"/>
    </xf>
    <xf numFmtId="3" fontId="22" fillId="0" borderId="47" xfId="0" applyNumberFormat="1" applyFont="1" applyBorder="1" applyAlignment="1">
      <alignment horizontal="right" vertical="center" wrapText="1" shrinkToFit="1"/>
    </xf>
    <xf numFmtId="3" fontId="22" fillId="0" borderId="13" xfId="0" applyNumberFormat="1" applyFont="1" applyBorder="1" applyAlignment="1">
      <alignment horizontal="right" vertical="center" wrapText="1" shrinkToFit="1"/>
    </xf>
    <xf numFmtId="49" fontId="22" fillId="0" borderId="18" xfId="0" applyNumberFormat="1" applyFont="1" applyBorder="1" applyAlignment="1">
      <alignment horizontal="left" vertical="center" wrapText="1" shrinkToFit="1"/>
    </xf>
    <xf numFmtId="49" fontId="22" fillId="0" borderId="1" xfId="0" applyNumberFormat="1" applyFont="1" applyBorder="1" applyAlignment="1">
      <alignment horizontal="left" vertical="center" wrapText="1" shrinkToFit="1"/>
    </xf>
    <xf numFmtId="3" fontId="22" fillId="0" borderId="51" xfId="0" applyNumberFormat="1" applyFont="1" applyBorder="1" applyAlignment="1">
      <alignment horizontal="right" vertical="center" wrapText="1" shrinkToFit="1"/>
    </xf>
    <xf numFmtId="3" fontId="22" fillId="0" borderId="1" xfId="0" applyNumberFormat="1" applyFont="1" applyBorder="1" applyAlignment="1">
      <alignment horizontal="right" vertical="center" wrapText="1" shrinkToFit="1"/>
    </xf>
    <xf numFmtId="3" fontId="22" fillId="0" borderId="19" xfId="0" applyNumberFormat="1" applyFont="1" applyBorder="1" applyAlignment="1">
      <alignment horizontal="right" vertical="center" wrapText="1" shrinkToFit="1"/>
    </xf>
    <xf numFmtId="0" fontId="22" fillId="0" borderId="0" xfId="0" applyFont="1"/>
    <xf numFmtId="3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right"/>
    </xf>
    <xf numFmtId="3" fontId="22" fillId="0" borderId="17" xfId="2" applyNumberFormat="1" applyFont="1" applyFill="1" applyBorder="1" applyAlignment="1">
      <alignment horizontal="right" vertical="center"/>
      <protection locked="0"/>
    </xf>
    <xf numFmtId="0" fontId="22" fillId="0" borderId="4" xfId="0" applyFont="1" applyBorder="1"/>
    <xf numFmtId="3" fontId="22" fillId="0" borderId="2" xfId="2" applyNumberFormat="1" applyFont="1" applyFill="1" applyBorder="1" applyAlignment="1">
      <alignment horizontal="center" vertical="center"/>
      <protection locked="0"/>
    </xf>
    <xf numFmtId="0" fontId="22" fillId="0" borderId="2" xfId="0" applyFont="1" applyBorder="1"/>
    <xf numFmtId="49" fontId="24" fillId="0" borderId="11" xfId="1" applyNumberFormat="1" applyFont="1" applyBorder="1" applyAlignment="1">
      <alignment horizontal="right"/>
      <protection locked="0"/>
    </xf>
    <xf numFmtId="3" fontId="22" fillId="0" borderId="2" xfId="0" applyNumberFormat="1" applyFont="1" applyBorder="1"/>
    <xf numFmtId="3" fontId="22" fillId="0" borderId="15" xfId="1" applyNumberFormat="1" applyFont="1" applyBorder="1" applyAlignment="1">
      <alignment horizontal="right"/>
      <protection locked="0"/>
    </xf>
    <xf numFmtId="0" fontId="22" fillId="0" borderId="6" xfId="0" applyFont="1" applyBorder="1"/>
    <xf numFmtId="3" fontId="22" fillId="0" borderId="24" xfId="1" applyNumberFormat="1" applyFont="1" applyBorder="1" applyAlignment="1">
      <alignment horizontal="right"/>
      <protection locked="0"/>
    </xf>
    <xf numFmtId="49" fontId="23" fillId="0" borderId="14" xfId="0" applyNumberFormat="1" applyFont="1" applyBorder="1" applyAlignment="1">
      <alignment horizontal="right"/>
    </xf>
    <xf numFmtId="0" fontId="21" fillId="0" borderId="7" xfId="0" applyFont="1" applyBorder="1"/>
    <xf numFmtId="3" fontId="21" fillId="0" borderId="7" xfId="1" applyNumberFormat="1" applyFont="1" applyBorder="1" applyAlignment="1">
      <alignment horizontal="right"/>
      <protection locked="0"/>
    </xf>
    <xf numFmtId="3" fontId="22" fillId="0" borderId="45" xfId="2" applyNumberFormat="1" applyFont="1" applyFill="1" applyBorder="1" applyAlignment="1">
      <alignment horizontal="center" vertical="center"/>
      <protection locked="0"/>
    </xf>
    <xf numFmtId="3" fontId="21" fillId="0" borderId="8" xfId="1" applyNumberFormat="1" applyFont="1" applyBorder="1" applyAlignment="1">
      <alignment horizontal="right"/>
      <protection locked="0"/>
    </xf>
    <xf numFmtId="0" fontId="22" fillId="0" borderId="23" xfId="0" applyFont="1" applyBorder="1"/>
    <xf numFmtId="3" fontId="22" fillId="0" borderId="46" xfId="1" applyNumberFormat="1" applyFont="1" applyBorder="1">
      <protection locked="0"/>
    </xf>
    <xf numFmtId="49" fontId="24" fillId="0" borderId="22" xfId="1" applyNumberFormat="1" applyFont="1" applyBorder="1" applyAlignment="1">
      <alignment horizontal="right"/>
      <protection locked="0"/>
    </xf>
    <xf numFmtId="3" fontId="22" fillId="0" borderId="23" xfId="0" applyNumberFormat="1" applyFont="1" applyBorder="1"/>
    <xf numFmtId="3" fontId="21" fillId="13" borderId="7" xfId="1" applyNumberFormat="1" applyFont="1" applyFill="1" applyBorder="1">
      <protection locked="0"/>
    </xf>
    <xf numFmtId="3" fontId="21" fillId="13" borderId="38" xfId="1" applyNumberFormat="1" applyFont="1" applyFill="1" applyBorder="1">
      <protection locked="0"/>
    </xf>
    <xf numFmtId="3" fontId="21" fillId="13" borderId="38" xfId="1" applyNumberFormat="1" applyFont="1" applyFill="1" applyBorder="1" applyAlignment="1">
      <alignment horizontal="center"/>
      <protection locked="0"/>
    </xf>
    <xf numFmtId="49" fontId="22" fillId="0" borderId="29" xfId="0" applyNumberFormat="1" applyFont="1" applyBorder="1" applyAlignment="1">
      <alignment vertical="center" wrapText="1" shrinkToFit="1"/>
    </xf>
    <xf numFmtId="3" fontId="10" fillId="12" borderId="25" xfId="0" applyNumberFormat="1" applyFont="1" applyFill="1" applyBorder="1" applyAlignment="1" applyProtection="1">
      <alignment vertical="center" wrapText="1" readingOrder="1"/>
      <protection locked="0"/>
    </xf>
    <xf numFmtId="3" fontId="7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25" xfId="0" applyNumberFormat="1" applyFont="1" applyFill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17" xfId="0" applyNumberFormat="1" applyFont="1" applyBorder="1" applyAlignment="1" applyProtection="1">
      <alignment vertical="center" wrapText="1" readingOrder="1"/>
      <protection locked="0"/>
    </xf>
    <xf numFmtId="3" fontId="8" fillId="0" borderId="4" xfId="0" applyNumberFormat="1" applyFont="1" applyBorder="1" applyAlignment="1" applyProtection="1">
      <alignment vertical="center" wrapText="1" readingOrder="1"/>
      <protection locked="0"/>
    </xf>
    <xf numFmtId="0" fontId="12" fillId="0" borderId="0" xfId="0" applyFont="1" applyAlignment="1">
      <alignment horizontal="center"/>
    </xf>
    <xf numFmtId="49" fontId="24" fillId="0" borderId="3" xfId="0" applyNumberFormat="1" applyFont="1" applyBorder="1" applyAlignment="1">
      <alignment horizontal="right"/>
    </xf>
    <xf numFmtId="49" fontId="24" fillId="0" borderId="11" xfId="0" applyNumberFormat="1" applyFont="1" applyBorder="1" applyAlignment="1">
      <alignment horizontal="right"/>
    </xf>
    <xf numFmtId="49" fontId="24" fillId="0" borderId="5" xfId="0" applyNumberFormat="1" applyFont="1" applyBorder="1" applyAlignment="1">
      <alignment horizontal="right"/>
    </xf>
    <xf numFmtId="49" fontId="24" fillId="0" borderId="22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2" fillId="0" borderId="46" xfId="0" applyNumberFormat="1" applyFont="1" applyBorder="1"/>
    <xf numFmtId="3" fontId="22" fillId="0" borderId="24" xfId="1" applyNumberFormat="1" applyFont="1" applyBorder="1" applyAlignment="1">
      <alignment horizontal="center"/>
      <protection locked="0"/>
    </xf>
    <xf numFmtId="3" fontId="19" fillId="3" borderId="23" xfId="0" applyNumberFormat="1" applyFont="1" applyFill="1" applyBorder="1" applyAlignment="1">
      <alignment horizontal="right" vertical="center" wrapText="1" shrinkToFit="1"/>
    </xf>
    <xf numFmtId="3" fontId="20" fillId="3" borderId="2" xfId="0" applyNumberFormat="1" applyFont="1" applyFill="1" applyBorder="1" applyAlignment="1">
      <alignment horizontal="right" vertical="center" wrapText="1" shrinkToFit="1"/>
    </xf>
    <xf numFmtId="0" fontId="18" fillId="2" borderId="37" xfId="0" applyFont="1" applyFill="1" applyBorder="1" applyAlignment="1">
      <alignment horizontal="center" vertical="center" wrapText="1" shrinkToFit="1"/>
    </xf>
    <xf numFmtId="3" fontId="23" fillId="11" borderId="38" xfId="0" applyNumberFormat="1" applyFont="1" applyFill="1" applyBorder="1" applyAlignment="1">
      <alignment horizontal="right" vertical="center" wrapText="1" shrinkToFit="1"/>
    </xf>
    <xf numFmtId="0" fontId="7" fillId="12" borderId="37" xfId="0" applyFont="1" applyFill="1" applyBorder="1" applyAlignment="1" applyProtection="1">
      <alignment horizontal="center" vertical="center" wrapText="1" readingOrder="1"/>
      <protection locked="0"/>
    </xf>
    <xf numFmtId="3" fontId="8" fillId="0" borderId="19" xfId="0" applyNumberFormat="1" applyFont="1" applyBorder="1" applyAlignment="1" applyProtection="1">
      <alignment vertical="center" wrapText="1" readingOrder="1"/>
      <protection locked="0"/>
    </xf>
    <xf numFmtId="3" fontId="18" fillId="14" borderId="27" xfId="0" applyNumberFormat="1" applyFont="1" applyFill="1" applyBorder="1" applyAlignment="1">
      <alignment vertical="center" wrapText="1" readingOrder="1"/>
    </xf>
    <xf numFmtId="3" fontId="8" fillId="0" borderId="29" xfId="0" applyNumberFormat="1" applyFont="1" applyBorder="1" applyAlignment="1" applyProtection="1">
      <alignment vertical="center" wrapText="1" readingOrder="1"/>
      <protection locked="0"/>
    </xf>
    <xf numFmtId="3" fontId="22" fillId="0" borderId="10" xfId="0" applyNumberFormat="1" applyFont="1" applyBorder="1" applyAlignment="1">
      <alignment horizontal="center" vertical="center" wrapText="1" shrinkToFit="1"/>
    </xf>
    <xf numFmtId="3" fontId="21" fillId="10" borderId="8" xfId="0" applyNumberFormat="1" applyFont="1" applyFill="1" applyBorder="1"/>
    <xf numFmtId="3" fontId="12" fillId="0" borderId="0" xfId="0" applyNumberFormat="1" applyFont="1"/>
    <xf numFmtId="1" fontId="21" fillId="13" borderId="41" xfId="2" applyNumberFormat="1" applyFont="1" applyFill="1" applyBorder="1" applyAlignment="1">
      <alignment horizontal="center" vertical="center" wrapText="1"/>
      <protection locked="0"/>
    </xf>
    <xf numFmtId="49" fontId="8" fillId="0" borderId="32" xfId="0" applyNumberFormat="1" applyFont="1" applyBorder="1" applyAlignment="1" applyProtection="1">
      <alignment vertical="center" wrapText="1" readingOrder="1"/>
      <protection locked="0"/>
    </xf>
    <xf numFmtId="3" fontId="8" fillId="0" borderId="24" xfId="0" applyNumberFormat="1" applyFont="1" applyBorder="1" applyAlignment="1" applyProtection="1">
      <alignment vertical="center" wrapText="1" readingOrder="1"/>
      <protection locked="0"/>
    </xf>
    <xf numFmtId="49" fontId="8" fillId="0" borderId="34" xfId="0" applyNumberFormat="1" applyFont="1" applyBorder="1" applyAlignment="1" applyProtection="1">
      <alignment vertical="center" wrapText="1" readingOrder="1"/>
      <protection locked="0"/>
    </xf>
    <xf numFmtId="49" fontId="8" fillId="0" borderId="51" xfId="0" applyNumberFormat="1" applyFont="1" applyBorder="1" applyAlignment="1" applyProtection="1">
      <alignment vertical="center" wrapText="1" readingOrder="1"/>
      <protection locked="0"/>
    </xf>
    <xf numFmtId="0" fontId="8" fillId="0" borderId="45" xfId="0" applyFont="1" applyBorder="1" applyAlignment="1" applyProtection="1">
      <alignment vertical="center" wrapText="1" readingOrder="1"/>
      <protection locked="0"/>
    </xf>
    <xf numFmtId="49" fontId="8" fillId="0" borderId="58" xfId="0" applyNumberFormat="1" applyFont="1" applyBorder="1" applyAlignment="1" applyProtection="1">
      <alignment vertical="center" wrapText="1" readingOrder="1"/>
      <protection locked="0"/>
    </xf>
    <xf numFmtId="3" fontId="18" fillId="14" borderId="26" xfId="0" applyNumberFormat="1" applyFont="1" applyFill="1" applyBorder="1" applyAlignment="1">
      <alignment vertical="center" wrapText="1" readingOrder="1"/>
    </xf>
    <xf numFmtId="3" fontId="18" fillId="14" borderId="7" xfId="0" applyNumberFormat="1" applyFont="1" applyFill="1" applyBorder="1" applyAlignment="1">
      <alignment vertical="center" wrapText="1" readingOrder="1"/>
    </xf>
    <xf numFmtId="3" fontId="18" fillId="14" borderId="38" xfId="0" applyNumberFormat="1" applyFont="1" applyFill="1" applyBorder="1" applyAlignment="1">
      <alignment vertical="center" wrapText="1" readingOrder="1"/>
    </xf>
    <xf numFmtId="49" fontId="8" fillId="0" borderId="2" xfId="0" applyNumberFormat="1" applyFont="1" applyBorder="1" applyAlignment="1" applyProtection="1">
      <alignment vertical="center" wrapText="1" readingOrder="1"/>
      <protection locked="0"/>
    </xf>
    <xf numFmtId="3" fontId="8" fillId="0" borderId="31" xfId="0" applyNumberFormat="1" applyFont="1" applyBorder="1" applyAlignment="1" applyProtection="1">
      <alignment vertical="center" wrapText="1" readingOrder="1"/>
      <protection locked="0"/>
    </xf>
    <xf numFmtId="3" fontId="8" fillId="0" borderId="34" xfId="0" applyNumberFormat="1" applyFont="1" applyBorder="1" applyAlignment="1" applyProtection="1">
      <alignment vertical="center" wrapText="1" readingOrder="1"/>
      <protection locked="0"/>
    </xf>
    <xf numFmtId="3" fontId="8" fillId="0" borderId="51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vertical="center" wrapText="1" readingOrder="1"/>
      <protection locked="0"/>
    </xf>
    <xf numFmtId="3" fontId="8" fillId="0" borderId="45" xfId="0" applyNumberFormat="1" applyFont="1" applyBorder="1" applyAlignment="1" applyProtection="1">
      <alignment vertical="center" wrapText="1" readingOrder="1"/>
      <protection locked="0"/>
    </xf>
    <xf numFmtId="49" fontId="8" fillId="16" borderId="5" xfId="0" applyNumberFormat="1" applyFont="1" applyFill="1" applyBorder="1" applyAlignment="1" applyProtection="1">
      <alignment vertical="center" wrapText="1" readingOrder="1"/>
      <protection locked="0"/>
    </xf>
    <xf numFmtId="0" fontId="8" fillId="16" borderId="2" xfId="0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vertical="center" wrapText="1" readingOrder="1"/>
      <protection locked="0"/>
    </xf>
    <xf numFmtId="3" fontId="8" fillId="16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11" xfId="0" applyNumberFormat="1" applyFont="1" applyFill="1" applyBorder="1" applyAlignment="1" applyProtection="1">
      <alignment vertical="center" wrapText="1" readingOrder="1"/>
      <protection locked="0"/>
    </xf>
    <xf numFmtId="49" fontId="8" fillId="16" borderId="2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vertical="center" wrapText="1" readingOrder="1"/>
      <protection locked="0"/>
    </xf>
    <xf numFmtId="3" fontId="22" fillId="0" borderId="2" xfId="0" applyNumberFormat="1" applyFont="1" applyBorder="1" applyAlignment="1">
      <alignment horizontal="right" vertical="center" wrapText="1" shrinkToFit="1"/>
    </xf>
    <xf numFmtId="3" fontId="19" fillId="3" borderId="2" xfId="0" applyNumberFormat="1" applyFont="1" applyFill="1" applyBorder="1" applyAlignment="1">
      <alignment horizontal="right" vertical="center" wrapText="1" shrinkToFit="1"/>
    </xf>
    <xf numFmtId="3" fontId="22" fillId="0" borderId="16" xfId="2" applyNumberFormat="1" applyFont="1" applyFill="1" applyBorder="1" applyAlignment="1">
      <alignment horizontal="right" vertical="center"/>
      <protection locked="0"/>
    </xf>
    <xf numFmtId="1" fontId="21" fillId="12" borderId="20" xfId="2" applyNumberFormat="1" applyFont="1" applyFill="1" applyBorder="1" applyAlignment="1">
      <alignment horizontal="center" vertical="center" wrapText="1"/>
      <protection locked="0"/>
    </xf>
    <xf numFmtId="49" fontId="23" fillId="0" borderId="48" xfId="1" applyNumberFormat="1" applyFont="1" applyBorder="1" applyAlignment="1">
      <alignment horizontal="center"/>
      <protection locked="0"/>
    </xf>
    <xf numFmtId="3" fontId="21" fillId="0" borderId="49" xfId="0" applyNumberFormat="1" applyFont="1" applyBorder="1"/>
    <xf numFmtId="3" fontId="21" fillId="0" borderId="50" xfId="1" applyNumberFormat="1" applyFont="1" applyBorder="1" applyAlignment="1">
      <alignment horizontal="right"/>
      <protection locked="0"/>
    </xf>
    <xf numFmtId="3" fontId="21" fillId="0" borderId="50" xfId="1" applyNumberFormat="1" applyFont="1" applyBorder="1" applyAlignment="1">
      <alignment horizontal="center"/>
      <protection locked="0"/>
    </xf>
    <xf numFmtId="0" fontId="0" fillId="0" borderId="2" xfId="0" applyBorder="1"/>
    <xf numFmtId="49" fontId="22" fillId="0" borderId="9" xfId="2" applyNumberFormat="1" applyFont="1" applyFill="1" applyBorder="1" applyAlignment="1">
      <alignment horizontal="right" vertical="center"/>
      <protection locked="0"/>
    </xf>
    <xf numFmtId="3" fontId="22" fillId="0" borderId="10" xfId="0" applyNumberFormat="1" applyFont="1" applyBorder="1"/>
    <xf numFmtId="3" fontId="22" fillId="0" borderId="10" xfId="2" applyNumberFormat="1" applyFont="1" applyFill="1" applyBorder="1" applyAlignment="1">
      <alignment horizontal="center" vertical="center"/>
      <protection locked="0"/>
    </xf>
    <xf numFmtId="49" fontId="24" fillId="0" borderId="11" xfId="2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15" xfId="0" applyBorder="1"/>
    <xf numFmtId="49" fontId="24" fillId="0" borderId="9" xfId="0" applyNumberFormat="1" applyFont="1" applyBorder="1" applyAlignment="1">
      <alignment horizontal="right"/>
    </xf>
    <xf numFmtId="0" fontId="22" fillId="0" borderId="10" xfId="0" applyFont="1" applyBorder="1"/>
    <xf numFmtId="3" fontId="22" fillId="0" borderId="45" xfId="0" applyNumberFormat="1" applyFont="1" applyBorder="1"/>
    <xf numFmtId="3" fontId="22" fillId="0" borderId="16" xfId="2" applyNumberFormat="1" applyFont="1" applyBorder="1">
      <protection locked="0"/>
    </xf>
    <xf numFmtId="3" fontId="22" fillId="0" borderId="15" xfId="1" applyNumberFormat="1" applyFont="1" applyBorder="1">
      <protection locked="0"/>
    </xf>
    <xf numFmtId="3" fontId="22" fillId="0" borderId="38" xfId="2" applyNumberFormat="1" applyFont="1" applyFill="1" applyBorder="1" applyAlignment="1">
      <alignment horizontal="center" vertical="center"/>
      <protection locked="0"/>
    </xf>
    <xf numFmtId="0" fontId="0" fillId="0" borderId="34" xfId="0" applyBorder="1"/>
    <xf numFmtId="0" fontId="9" fillId="0" borderId="0" xfId="0" applyFont="1"/>
    <xf numFmtId="3" fontId="0" fillId="0" borderId="62" xfId="0" applyNumberFormat="1" applyBorder="1"/>
    <xf numFmtId="3" fontId="8" fillId="0" borderId="23" xfId="0" applyNumberFormat="1" applyFont="1" applyBorder="1" applyAlignment="1" applyProtection="1">
      <alignment vertical="center" wrapText="1" readingOrder="1"/>
      <protection locked="0"/>
    </xf>
    <xf numFmtId="0" fontId="8" fillId="0" borderId="7" xfId="0" applyFont="1" applyBorder="1" applyAlignment="1" applyProtection="1">
      <alignment vertical="center" wrapText="1" readingOrder="1"/>
      <protection locked="0"/>
    </xf>
    <xf numFmtId="3" fontId="12" fillId="17" borderId="0" xfId="0" applyNumberFormat="1" applyFont="1" applyFill="1" applyAlignment="1">
      <alignment horizontal="left"/>
    </xf>
    <xf numFmtId="3" fontId="8" fillId="0" borderId="10" xfId="0" applyNumberFormat="1" applyFont="1" applyBorder="1" applyAlignment="1" applyProtection="1">
      <alignment vertical="center" wrapText="1" readingOrder="1"/>
      <protection locked="0"/>
    </xf>
    <xf numFmtId="3" fontId="8" fillId="0" borderId="49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50" xfId="0" applyNumberFormat="1" applyFont="1" applyBorder="1" applyAlignment="1" applyProtection="1">
      <alignment vertical="center" wrapText="1" readingOrder="1"/>
      <protection locked="0"/>
    </xf>
    <xf numFmtId="49" fontId="22" fillId="3" borderId="4" xfId="0" applyNumberFormat="1" applyFont="1" applyFill="1" applyBorder="1" applyAlignment="1">
      <alignment vertical="center" wrapText="1" shrinkToFit="1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0" fontId="25" fillId="17" borderId="9" xfId="0" applyFont="1" applyFill="1" applyBorder="1" applyAlignment="1" applyProtection="1">
      <alignment vertical="center" wrapText="1" readingOrder="1"/>
      <protection locked="0"/>
    </xf>
    <xf numFmtId="3" fontId="25" fillId="17" borderId="3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16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17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11" xfId="0" applyFont="1" applyFill="1" applyBorder="1" applyAlignment="1" applyProtection="1">
      <alignment vertical="center" wrapText="1" readingOrder="1"/>
      <protection locked="0"/>
    </xf>
    <xf numFmtId="3" fontId="25" fillId="17" borderId="15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11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9" xfId="0" applyNumberFormat="1" applyFont="1" applyFill="1" applyBorder="1" applyAlignment="1" applyProtection="1">
      <alignment vertical="center" wrapText="1" readingOrder="1"/>
      <protection locked="0"/>
    </xf>
    <xf numFmtId="3" fontId="7" fillId="14" borderId="48" xfId="0" applyNumberFormat="1" applyFont="1" applyFill="1" applyBorder="1" applyAlignment="1" applyProtection="1">
      <alignment vertical="center" wrapText="1" readingOrder="1"/>
      <protection locked="0"/>
    </xf>
    <xf numFmtId="3" fontId="7" fillId="14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14" borderId="5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25" fillId="17" borderId="18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19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58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60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9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50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3" xfId="0" applyFont="1" applyFill="1" applyBorder="1" applyAlignment="1" applyProtection="1">
      <alignment vertical="center" wrapText="1" readingOrder="1"/>
      <protection locked="0"/>
    </xf>
    <xf numFmtId="49" fontId="25" fillId="17" borderId="5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0" xfId="0" applyNumberFormat="1" applyFont="1" applyFill="1" applyBorder="1" applyAlignment="1" applyProtection="1">
      <alignment vertical="center" wrapText="1" readingOrder="1"/>
      <protection locked="0"/>
    </xf>
    <xf numFmtId="49" fontId="25" fillId="17" borderId="3" xfId="0" applyNumberFormat="1" applyFont="1" applyFill="1" applyBorder="1" applyAlignment="1" applyProtection="1">
      <alignment vertical="center" wrapText="1" readingOrder="1"/>
      <protection locked="0"/>
    </xf>
    <xf numFmtId="3" fontId="8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25" fillId="17" borderId="30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4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22" xfId="0" applyFont="1" applyFill="1" applyBorder="1" applyAlignment="1" applyProtection="1">
      <alignment vertical="center" wrapText="1" readingOrder="1"/>
      <protection locked="0"/>
    </xf>
    <xf numFmtId="0" fontId="25" fillId="17" borderId="5" xfId="0" applyFont="1" applyFill="1" applyBorder="1" applyAlignment="1" applyProtection="1">
      <alignment vertical="center" wrapText="1" readingOrder="1"/>
      <protection locked="0"/>
    </xf>
    <xf numFmtId="49" fontId="25" fillId="17" borderId="32" xfId="0" applyNumberFormat="1" applyFont="1" applyFill="1" applyBorder="1" applyAlignment="1" applyProtection="1">
      <alignment vertical="center" wrapText="1" readingOrder="1"/>
      <protection locked="0"/>
    </xf>
    <xf numFmtId="0" fontId="25" fillId="17" borderId="7" xfId="0" applyFont="1" applyFill="1" applyBorder="1" applyAlignment="1" applyProtection="1">
      <alignment vertical="center" wrapText="1" readingOrder="1"/>
      <protection locked="0"/>
    </xf>
    <xf numFmtId="3" fontId="25" fillId="17" borderId="23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23" xfId="0" applyNumberFormat="1" applyFont="1" applyFill="1" applyBorder="1" applyAlignment="1" applyProtection="1">
      <alignment horizontal="center" vertical="center" wrapText="1" readingOrder="1"/>
      <protection locked="0"/>
    </xf>
    <xf numFmtId="3" fontId="22" fillId="17" borderId="16" xfId="0" applyNumberFormat="1" applyFont="1" applyFill="1" applyBorder="1" applyAlignment="1">
      <alignment vertical="center" wrapText="1" shrinkToFit="1"/>
    </xf>
    <xf numFmtId="49" fontId="25" fillId="17" borderId="9" xfId="0" applyNumberFormat="1" applyFont="1" applyFill="1" applyBorder="1" applyAlignment="1" applyProtection="1">
      <alignment vertical="center" wrapText="1" readingOrder="1"/>
      <protection locked="0"/>
    </xf>
    <xf numFmtId="3" fontId="25" fillId="17" borderId="44" xfId="0" applyNumberFormat="1" applyFont="1" applyFill="1" applyBorder="1" applyAlignment="1" applyProtection="1">
      <alignment vertical="center" wrapText="1" readingOrder="1"/>
      <protection locked="0"/>
    </xf>
    <xf numFmtId="49" fontId="24" fillId="0" borderId="9" xfId="1" applyNumberFormat="1" applyFont="1" applyBorder="1" applyAlignment="1">
      <alignment horizontal="right"/>
      <protection locked="0"/>
    </xf>
    <xf numFmtId="3" fontId="21" fillId="0" borderId="45" xfId="1" applyNumberFormat="1" applyFont="1" applyBorder="1" applyAlignment="1">
      <alignment horizontal="right"/>
      <protection locked="0"/>
    </xf>
    <xf numFmtId="3" fontId="21" fillId="0" borderId="17" xfId="1" applyNumberFormat="1" applyFont="1" applyBorder="1" applyAlignment="1">
      <alignment horizontal="center"/>
      <protection locked="0"/>
    </xf>
    <xf numFmtId="3" fontId="21" fillId="0" borderId="17" xfId="1" applyNumberFormat="1" applyFont="1" applyBorder="1" applyAlignment="1">
      <alignment horizontal="right"/>
      <protection locked="0"/>
    </xf>
    <xf numFmtId="3" fontId="22" fillId="0" borderId="31" xfId="2" applyNumberFormat="1" applyFont="1" applyFill="1" applyBorder="1" applyAlignment="1">
      <alignment horizontal="center" vertical="center"/>
      <protection locked="0"/>
    </xf>
    <xf numFmtId="49" fontId="23" fillId="0" borderId="9" xfId="0" applyNumberFormat="1" applyFont="1" applyBorder="1" applyAlignment="1">
      <alignment horizontal="right"/>
    </xf>
    <xf numFmtId="0" fontId="21" fillId="0" borderId="10" xfId="0" applyFont="1" applyBorder="1"/>
    <xf numFmtId="3" fontId="21" fillId="0" borderId="10" xfId="1" applyNumberFormat="1" applyFont="1" applyBorder="1" applyAlignment="1">
      <alignment horizontal="right"/>
      <protection locked="0"/>
    </xf>
    <xf numFmtId="0" fontId="26" fillId="17" borderId="43" xfId="0" applyFont="1" applyFill="1" applyBorder="1" applyAlignment="1" applyProtection="1">
      <alignment horizontal="center" vertical="center" wrapText="1" readingOrder="1"/>
      <protection locked="0"/>
    </xf>
    <xf numFmtId="0" fontId="26" fillId="17" borderId="6" xfId="0" applyFont="1" applyFill="1" applyBorder="1" applyAlignment="1" applyProtection="1">
      <alignment horizontal="center" vertical="center" wrapText="1" readingOrder="1"/>
      <protection locked="0"/>
    </xf>
    <xf numFmtId="9" fontId="0" fillId="0" borderId="0" xfId="0" applyNumberFormat="1"/>
    <xf numFmtId="165" fontId="25" fillId="17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45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10" xfId="0" applyNumberFormat="1" applyFont="1" applyFill="1" applyBorder="1" applyAlignment="1" applyProtection="1">
      <alignment vertical="center" wrapText="1" readingOrder="1"/>
      <protection locked="0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3" fontId="8" fillId="0" borderId="62" xfId="0" applyNumberFormat="1" applyFont="1" applyBorder="1" applyAlignment="1" applyProtection="1">
      <alignment vertical="center" wrapText="1" readingOrder="1"/>
      <protection locked="0"/>
    </xf>
    <xf numFmtId="3" fontId="22" fillId="0" borderId="46" xfId="0" applyNumberFormat="1" applyFont="1" applyBorder="1" applyAlignment="1">
      <alignment horizontal="right" vertical="center" wrapText="1" shrinkToFit="1"/>
    </xf>
    <xf numFmtId="3" fontId="22" fillId="0" borderId="10" xfId="0" applyNumberFormat="1" applyFont="1" applyBorder="1" applyAlignment="1">
      <alignment horizontal="right" vertical="center" wrapText="1" shrinkToFit="1"/>
    </xf>
    <xf numFmtId="3" fontId="8" fillId="0" borderId="12" xfId="0" applyNumberFormat="1" applyFont="1" applyBorder="1" applyAlignment="1" applyProtection="1">
      <alignment vertical="center" wrapText="1" readingOrder="1"/>
      <protection locked="0"/>
    </xf>
    <xf numFmtId="3" fontId="22" fillId="0" borderId="12" xfId="2" applyNumberFormat="1" applyFont="1" applyFill="1" applyBorder="1" applyAlignment="1">
      <alignment horizontal="center" vertical="center"/>
      <protection locked="0"/>
    </xf>
    <xf numFmtId="3" fontId="22" fillId="0" borderId="4" xfId="2" applyNumberFormat="1" applyFont="1" applyFill="1" applyBorder="1" applyAlignment="1">
      <alignment horizontal="center" vertical="center"/>
      <protection locked="0"/>
    </xf>
    <xf numFmtId="3" fontId="8" fillId="0" borderId="42" xfId="0" applyNumberFormat="1" applyFont="1" applyBorder="1" applyAlignment="1" applyProtection="1">
      <alignment vertical="center" wrapText="1" readingOrder="1"/>
      <protection locked="0"/>
    </xf>
    <xf numFmtId="3" fontId="19" fillId="0" borderId="31" xfId="0" applyNumberFormat="1" applyFont="1" applyBorder="1" applyAlignment="1">
      <alignment horizontal="right" vertical="center" wrapText="1" shrinkToFit="1"/>
    </xf>
    <xf numFmtId="3" fontId="19" fillId="3" borderId="31" xfId="0" applyNumberFormat="1" applyFont="1" applyFill="1" applyBorder="1" applyAlignment="1">
      <alignment horizontal="right" vertical="center" wrapText="1" shrinkToFit="1"/>
    </xf>
    <xf numFmtId="3" fontId="19" fillId="3" borderId="10" xfId="0" applyNumberFormat="1" applyFont="1" applyFill="1" applyBorder="1" applyAlignment="1">
      <alignment horizontal="right" vertical="center" wrapText="1" shrinkToFit="1"/>
    </xf>
    <xf numFmtId="3" fontId="19" fillId="3" borderId="49" xfId="0" applyNumberFormat="1" applyFont="1" applyFill="1" applyBorder="1" applyAlignment="1">
      <alignment horizontal="right" vertical="center" wrapText="1" shrinkToFit="1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25" fillId="17" borderId="24" xfId="0" applyNumberFormat="1" applyFont="1" applyFill="1" applyBorder="1" applyAlignment="1" applyProtection="1">
      <alignment vertical="center" wrapText="1" readingOrder="1"/>
      <protection locked="0"/>
    </xf>
    <xf numFmtId="9" fontId="25" fillId="17" borderId="2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31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4" xfId="0" applyNumberFormat="1" applyFont="1" applyFill="1" applyBorder="1" applyAlignment="1" applyProtection="1">
      <alignment vertical="center" wrapText="1" readingOrder="1"/>
      <protection locked="0"/>
    </xf>
    <xf numFmtId="165" fontId="25" fillId="17" borderId="2" xfId="0" applyNumberFormat="1" applyFont="1" applyFill="1" applyBorder="1" applyAlignment="1" applyProtection="1">
      <alignment vertical="center" wrapText="1" readingOrder="1"/>
      <protection locked="0"/>
    </xf>
    <xf numFmtId="3" fontId="8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37" xfId="0" applyNumberFormat="1" applyFont="1" applyBorder="1" applyAlignment="1" applyProtection="1">
      <alignment vertical="center" wrapText="1" readingOrder="1"/>
      <protection locked="0"/>
    </xf>
    <xf numFmtId="3" fontId="8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22" fillId="0" borderId="30" xfId="0" applyNumberFormat="1" applyFont="1" applyBorder="1" applyAlignment="1">
      <alignment horizontal="center" vertical="center" wrapText="1" shrinkToFit="1"/>
    </xf>
    <xf numFmtId="49" fontId="22" fillId="3" borderId="9" xfId="0" applyNumberFormat="1" applyFont="1" applyFill="1" applyBorder="1" applyAlignment="1">
      <alignment vertical="center" wrapText="1" shrinkToFit="1"/>
    </xf>
    <xf numFmtId="49" fontId="22" fillId="0" borderId="10" xfId="0" applyNumberFormat="1" applyFont="1" applyBorder="1" applyAlignment="1">
      <alignment horizontal="left" vertical="center" wrapText="1" shrinkToFit="1"/>
    </xf>
    <xf numFmtId="3" fontId="22" fillId="0" borderId="56" xfId="0" applyNumberFormat="1" applyFont="1" applyBorder="1" applyAlignment="1">
      <alignment horizontal="right" vertical="center" wrapText="1" shrinkToFit="1"/>
    </xf>
    <xf numFmtId="3" fontId="22" fillId="0" borderId="17" xfId="0" applyNumberFormat="1" applyFont="1" applyBorder="1" applyAlignment="1">
      <alignment horizontal="right" vertical="center" wrapText="1" shrinkToFit="1"/>
    </xf>
    <xf numFmtId="3" fontId="22" fillId="0" borderId="65" xfId="0" applyNumberFormat="1" applyFont="1" applyBorder="1" applyAlignment="1">
      <alignment horizontal="right" vertical="center" wrapText="1" shrinkToFit="1"/>
    </xf>
    <xf numFmtId="49" fontId="22" fillId="3" borderId="48" xfId="0" applyNumberFormat="1" applyFont="1" applyFill="1" applyBorder="1" applyAlignment="1">
      <alignment vertical="center" wrapText="1" shrinkToFit="1"/>
    </xf>
    <xf numFmtId="49" fontId="22" fillId="0" borderId="49" xfId="0" applyNumberFormat="1" applyFont="1" applyBorder="1" applyAlignment="1">
      <alignment horizontal="left" vertical="center" wrapText="1" shrinkToFit="1"/>
    </xf>
    <xf numFmtId="3" fontId="22" fillId="0" borderId="60" xfId="0" applyNumberFormat="1" applyFont="1" applyBorder="1" applyAlignment="1">
      <alignment horizontal="right" vertical="center" wrapText="1" shrinkToFit="1"/>
    </xf>
    <xf numFmtId="3" fontId="22" fillId="0" borderId="49" xfId="0" applyNumberFormat="1" applyFont="1" applyBorder="1" applyAlignment="1">
      <alignment horizontal="center" vertical="center" wrapText="1" shrinkToFit="1"/>
    </xf>
    <xf numFmtId="3" fontId="22" fillId="0" borderId="50" xfId="0" applyNumberFormat="1" applyFont="1" applyBorder="1" applyAlignment="1">
      <alignment horizontal="right" vertical="center" wrapText="1" shrinkToFit="1"/>
    </xf>
    <xf numFmtId="3" fontId="18" fillId="4" borderId="38" xfId="0" applyNumberFormat="1" applyFont="1" applyFill="1" applyBorder="1"/>
    <xf numFmtId="3" fontId="18" fillId="4" borderId="39" xfId="0" applyNumberFormat="1" applyFont="1" applyFill="1" applyBorder="1" applyAlignment="1">
      <alignment horizontal="center"/>
    </xf>
    <xf numFmtId="3" fontId="18" fillId="4" borderId="7" xfId="0" applyNumberFormat="1" applyFont="1" applyFill="1" applyBorder="1"/>
    <xf numFmtId="3" fontId="19" fillId="3" borderId="0" xfId="0" applyNumberFormat="1" applyFont="1" applyFill="1" applyAlignment="1">
      <alignment vertical="center" wrapText="1" shrinkToFit="1"/>
    </xf>
    <xf numFmtId="1" fontId="21" fillId="12" borderId="42" xfId="2" applyNumberFormat="1" applyFont="1" applyFill="1" applyBorder="1" applyAlignment="1">
      <alignment horizontal="center" vertical="center" wrapText="1"/>
      <protection locked="0"/>
    </xf>
    <xf numFmtId="1" fontId="21" fillId="12" borderId="59" xfId="2" applyNumberFormat="1" applyFont="1" applyFill="1" applyBorder="1" applyAlignment="1">
      <alignment horizontal="center" vertical="center" wrapText="1"/>
      <protection locked="0"/>
    </xf>
    <xf numFmtId="49" fontId="24" fillId="0" borderId="18" xfId="1" applyNumberFormat="1" applyFont="1" applyBorder="1" applyAlignment="1">
      <alignment horizontal="right"/>
      <protection locked="0"/>
    </xf>
    <xf numFmtId="3" fontId="22" fillId="0" borderId="1" xfId="0" applyNumberFormat="1" applyFont="1" applyBorder="1"/>
    <xf numFmtId="3" fontId="22" fillId="0" borderId="1" xfId="1" applyNumberFormat="1" applyFont="1" applyBorder="1" applyAlignment="1">
      <alignment horizontal="right"/>
      <protection locked="0"/>
    </xf>
    <xf numFmtId="3" fontId="22" fillId="0" borderId="19" xfId="1" applyNumberFormat="1" applyFont="1" applyBorder="1" applyAlignment="1">
      <alignment horizontal="right"/>
      <protection locked="0"/>
    </xf>
    <xf numFmtId="1" fontId="21" fillId="12" borderId="6" xfId="2" applyNumberFormat="1" applyFont="1" applyFill="1" applyBorder="1" applyAlignment="1">
      <alignment horizontal="center" vertical="center" wrapText="1"/>
      <protection locked="0"/>
    </xf>
    <xf numFmtId="3" fontId="8" fillId="0" borderId="7" xfId="0" applyNumberFormat="1" applyFont="1" applyBorder="1" applyAlignment="1" applyProtection="1">
      <alignment horizontal="right" vertical="center" wrapText="1" readingOrder="1"/>
      <protection locked="0"/>
    </xf>
    <xf numFmtId="3" fontId="8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21" fillId="12" borderId="28" xfId="1" applyNumberFormat="1" applyFont="1" applyFill="1" applyBorder="1" applyAlignment="1">
      <alignment horizontal="right"/>
      <protection locked="0"/>
    </xf>
    <xf numFmtId="3" fontId="21" fillId="12" borderId="7" xfId="1" applyNumberFormat="1" applyFont="1" applyFill="1" applyBorder="1" applyAlignment="1">
      <alignment horizontal="center"/>
      <protection locked="0"/>
    </xf>
    <xf numFmtId="3" fontId="21" fillId="12" borderId="39" xfId="1" applyNumberFormat="1" applyFont="1" applyFill="1" applyBorder="1" applyAlignment="1">
      <alignment horizontal="right"/>
      <protection locked="0"/>
    </xf>
    <xf numFmtId="3" fontId="21" fillId="12" borderId="7" xfId="1" applyNumberFormat="1" applyFont="1" applyFill="1" applyBorder="1" applyAlignment="1">
      <alignment horizontal="right"/>
      <protection locked="0"/>
    </xf>
    <xf numFmtId="0" fontId="8" fillId="0" borderId="66" xfId="0" applyFont="1" applyBorder="1" applyAlignment="1" applyProtection="1">
      <alignment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19" fillId="0" borderId="22" xfId="0" applyFont="1" applyBorder="1" applyAlignment="1">
      <alignment horizontal="left" vertical="center" wrapText="1" shrinkToFit="1"/>
    </xf>
    <xf numFmtId="3" fontId="8" fillId="0" borderId="43" xfId="0" applyNumberFormat="1" applyFont="1" applyBorder="1" applyAlignment="1" applyProtection="1">
      <alignment horizontal="right" vertical="center" wrapText="1" readingOrder="1"/>
      <protection locked="0"/>
    </xf>
    <xf numFmtId="3" fontId="7" fillId="14" borderId="28" xfId="0" applyNumberFormat="1" applyFont="1" applyFill="1" applyBorder="1" applyAlignment="1" applyProtection="1">
      <alignment vertical="center" wrapText="1" readingOrder="1"/>
      <protection locked="0"/>
    </xf>
    <xf numFmtId="3" fontId="7" fillId="14" borderId="39" xfId="0" applyNumberFormat="1" applyFont="1" applyFill="1" applyBorder="1" applyAlignment="1" applyProtection="1">
      <alignment horizontal="right" vertical="center" wrapText="1" readingOrder="1"/>
      <protection locked="0"/>
    </xf>
    <xf numFmtId="3" fontId="22" fillId="0" borderId="37" xfId="0" applyNumberFormat="1" applyFont="1" applyBorder="1" applyAlignment="1">
      <alignment horizontal="right" vertical="center" wrapText="1" shrinkToFit="1"/>
    </xf>
    <xf numFmtId="3" fontId="23" fillId="11" borderId="54" xfId="0" applyNumberFormat="1" applyFont="1" applyFill="1" applyBorder="1" applyAlignment="1">
      <alignment horizontal="right" vertical="center" wrapText="1" shrinkToFit="1"/>
    </xf>
    <xf numFmtId="3" fontId="23" fillId="11" borderId="28" xfId="0" applyNumberFormat="1" applyFont="1" applyFill="1" applyBorder="1" applyAlignment="1">
      <alignment horizontal="right" vertical="center" wrapText="1" shrinkToFit="1"/>
    </xf>
    <xf numFmtId="3" fontId="23" fillId="11" borderId="39" xfId="0" applyNumberFormat="1" applyFont="1" applyFill="1" applyBorder="1" applyAlignment="1">
      <alignment horizontal="center" vertical="center" wrapText="1" shrinkToFit="1"/>
    </xf>
    <xf numFmtId="3" fontId="23" fillId="11" borderId="39" xfId="0" applyNumberFormat="1" applyFont="1" applyFill="1" applyBorder="1" applyAlignment="1">
      <alignment horizontal="right" vertical="center" wrapText="1" shrinkToFit="1"/>
    </xf>
    <xf numFmtId="3" fontId="23" fillId="11" borderId="7" xfId="0" applyNumberFormat="1" applyFont="1" applyFill="1" applyBorder="1" applyAlignment="1">
      <alignment horizontal="right" vertical="center" wrapText="1" shrinkToFit="1"/>
    </xf>
    <xf numFmtId="49" fontId="20" fillId="3" borderId="23" xfId="0" applyNumberFormat="1" applyFont="1" applyFill="1" applyBorder="1" applyAlignment="1">
      <alignment vertical="center" wrapText="1" shrinkToFit="1"/>
    </xf>
    <xf numFmtId="3" fontId="20" fillId="3" borderId="46" xfId="0" applyNumberFormat="1" applyFont="1" applyFill="1" applyBorder="1" applyAlignment="1">
      <alignment horizontal="right"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3" fontId="19" fillId="3" borderId="2" xfId="0" applyNumberFormat="1" applyFont="1" applyFill="1" applyBorder="1" applyAlignment="1">
      <alignment vertical="center" wrapText="1" shrinkToFit="1"/>
    </xf>
    <xf numFmtId="3" fontId="19" fillId="3" borderId="2" xfId="0" applyNumberFormat="1" applyFont="1" applyFill="1" applyBorder="1" applyAlignment="1">
      <alignment horizontal="center" vertical="center" wrapText="1" shrinkToFit="1"/>
    </xf>
    <xf numFmtId="3" fontId="22" fillId="0" borderId="46" xfId="2" applyNumberFormat="1" applyFont="1" applyFill="1" applyBorder="1" applyAlignment="1">
      <alignment horizontal="center" vertical="center"/>
      <protection locked="0"/>
    </xf>
    <xf numFmtId="49" fontId="24" fillId="0" borderId="48" xfId="1" applyNumberFormat="1" applyFont="1" applyBorder="1" applyAlignment="1">
      <alignment horizontal="right"/>
      <protection locked="0"/>
    </xf>
    <xf numFmtId="3" fontId="22" fillId="0" borderId="49" xfId="0" applyNumberFormat="1" applyFont="1" applyBorder="1"/>
    <xf numFmtId="3" fontId="22" fillId="0" borderId="41" xfId="0" applyNumberFormat="1" applyFont="1" applyBorder="1"/>
    <xf numFmtId="3" fontId="22" fillId="0" borderId="41" xfId="1" applyNumberFormat="1" applyFont="1" applyBorder="1" applyAlignment="1">
      <alignment horizontal="right"/>
      <protection locked="0"/>
    </xf>
    <xf numFmtId="3" fontId="22" fillId="0" borderId="50" xfId="1" applyNumberFormat="1" applyFont="1" applyBorder="1" applyAlignment="1">
      <alignment horizontal="right"/>
      <protection locked="0"/>
    </xf>
    <xf numFmtId="3" fontId="20" fillId="3" borderId="1" xfId="0" applyNumberFormat="1" applyFont="1" applyFill="1" applyBorder="1" applyAlignment="1">
      <alignment vertical="center" wrapText="1" shrinkToFit="1"/>
    </xf>
    <xf numFmtId="3" fontId="19" fillId="3" borderId="29" xfId="0" applyNumberFormat="1" applyFont="1" applyFill="1" applyBorder="1" applyAlignment="1">
      <alignment horizontal="center" vertical="center" wrapText="1" shrinkToFit="1"/>
    </xf>
    <xf numFmtId="3" fontId="18" fillId="4" borderId="28" xfId="0" applyNumberFormat="1" applyFont="1" applyFill="1" applyBorder="1"/>
    <xf numFmtId="3" fontId="22" fillId="0" borderId="16" xfId="2" applyNumberFormat="1" applyFont="1" applyFill="1" applyBorder="1" applyAlignment="1">
      <alignment horizontal="right"/>
      <protection locked="0"/>
    </xf>
    <xf numFmtId="3" fontId="22" fillId="0" borderId="17" xfId="2" applyNumberFormat="1" applyFont="1" applyFill="1" applyBorder="1" applyAlignment="1">
      <alignment horizontal="right"/>
      <protection locked="0"/>
    </xf>
    <xf numFmtId="0" fontId="0" fillId="0" borderId="0" xfId="0" applyBorder="1"/>
    <xf numFmtId="3" fontId="28" fillId="0" borderId="0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2" fillId="13" borderId="18" xfId="0" applyFont="1" applyFill="1" applyBorder="1" applyAlignment="1">
      <alignment horizontal="center" wrapText="1"/>
    </xf>
    <xf numFmtId="0" fontId="22" fillId="13" borderId="1" xfId="0" applyFont="1" applyFill="1" applyBorder="1" applyAlignment="1">
      <alignment horizontal="center" wrapText="1"/>
    </xf>
    <xf numFmtId="1" fontId="22" fillId="12" borderId="61" xfId="2" applyNumberFormat="1" applyFont="1" applyFill="1" applyBorder="1" applyAlignment="1">
      <alignment horizontal="center" vertical="center" wrapText="1"/>
      <protection locked="0"/>
    </xf>
    <xf numFmtId="0" fontId="22" fillId="12" borderId="43" xfId="0" applyFont="1" applyFill="1" applyBorder="1" applyAlignment="1">
      <alignment horizontal="center" vertical="center" wrapText="1"/>
    </xf>
    <xf numFmtId="49" fontId="21" fillId="13" borderId="26" xfId="0" applyNumberFormat="1" applyFont="1" applyFill="1" applyBorder="1"/>
    <xf numFmtId="49" fontId="22" fillId="13" borderId="39" xfId="0" applyNumberFormat="1" applyFont="1" applyFill="1" applyBorder="1"/>
    <xf numFmtId="3" fontId="21" fillId="12" borderId="26" xfId="0" applyNumberFormat="1" applyFont="1" applyFill="1" applyBorder="1"/>
    <xf numFmtId="0" fontId="22" fillId="12" borderId="39" xfId="0" applyFont="1" applyFill="1" applyBorder="1"/>
    <xf numFmtId="0" fontId="21" fillId="0" borderId="0" xfId="0" applyFont="1" applyAlignment="1">
      <alignment horizontal="center"/>
    </xf>
    <xf numFmtId="0" fontId="21" fillId="13" borderId="40" xfId="0" applyFont="1" applyFill="1" applyBorder="1" applyAlignment="1">
      <alignment horizontal="center" vertical="center"/>
    </xf>
    <xf numFmtId="0" fontId="22" fillId="13" borderId="35" xfId="0" applyFont="1" applyFill="1" applyBorder="1"/>
    <xf numFmtId="0" fontId="21" fillId="12" borderId="40" xfId="0" applyFont="1" applyFill="1" applyBorder="1" applyAlignment="1">
      <alignment horizontal="center" vertical="center"/>
    </xf>
    <xf numFmtId="0" fontId="22" fillId="12" borderId="35" xfId="0" applyFont="1" applyFill="1" applyBorder="1" applyAlignment="1">
      <alignment horizontal="center" vertical="center"/>
    </xf>
    <xf numFmtId="0" fontId="22" fillId="12" borderId="36" xfId="0" applyFont="1" applyFill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left" vertical="center" wrapText="1" shrinkToFit="1"/>
    </xf>
    <xf numFmtId="0" fontId="19" fillId="0" borderId="22" xfId="0" applyFont="1" applyBorder="1" applyAlignment="1">
      <alignment horizontal="left" vertical="center" wrapText="1" shrinkToFit="1"/>
    </xf>
    <xf numFmtId="0" fontId="18" fillId="4" borderId="1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1" fillId="15" borderId="52" xfId="0" applyFont="1" applyFill="1" applyBorder="1" applyAlignment="1">
      <alignment horizontal="center"/>
    </xf>
    <xf numFmtId="0" fontId="21" fillId="15" borderId="53" xfId="0" applyFont="1" applyFill="1" applyBorder="1" applyAlignment="1">
      <alignment horizontal="center"/>
    </xf>
    <xf numFmtId="0" fontId="21" fillId="15" borderId="54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 wrapText="1" shrinkToFit="1"/>
    </xf>
    <xf numFmtId="0" fontId="18" fillId="2" borderId="18" xfId="0" applyFont="1" applyFill="1" applyBorder="1" applyAlignment="1">
      <alignment horizontal="center" vertical="center" wrapText="1" shrinkToFit="1"/>
    </xf>
    <xf numFmtId="0" fontId="18" fillId="2" borderId="2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8" fillId="2" borderId="34" xfId="0" applyFont="1" applyFill="1" applyBorder="1" applyAlignment="1">
      <alignment horizontal="center" vertical="center" wrapText="1" shrinkToFit="1"/>
    </xf>
    <xf numFmtId="0" fontId="18" fillId="2" borderId="55" xfId="0" applyFont="1" applyFill="1" applyBorder="1" applyAlignment="1">
      <alignment horizontal="center" vertical="center" wrapText="1" shrinkToFit="1"/>
    </xf>
    <xf numFmtId="0" fontId="18" fillId="2" borderId="67" xfId="0" applyFont="1" applyFill="1" applyBorder="1" applyAlignment="1">
      <alignment horizontal="center" vertical="center" wrapText="1" shrinkToFit="1"/>
    </xf>
    <xf numFmtId="0" fontId="18" fillId="5" borderId="9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/>
    </xf>
    <xf numFmtId="0" fontId="21" fillId="15" borderId="0" xfId="0" applyFont="1" applyFill="1" applyAlignment="1">
      <alignment horizontal="center"/>
    </xf>
    <xf numFmtId="0" fontId="18" fillId="5" borderId="40" xfId="0" applyFont="1" applyFill="1" applyBorder="1" applyAlignment="1">
      <alignment horizontal="center"/>
    </xf>
    <xf numFmtId="0" fontId="18" fillId="5" borderId="35" xfId="0" applyFont="1" applyFill="1" applyBorder="1" applyAlignment="1">
      <alignment horizontal="center"/>
    </xf>
    <xf numFmtId="0" fontId="18" fillId="5" borderId="36" xfId="0" applyFont="1" applyFill="1" applyBorder="1" applyAlignment="1">
      <alignment horizontal="center"/>
    </xf>
    <xf numFmtId="49" fontId="23" fillId="11" borderId="14" xfId="0" applyNumberFormat="1" applyFont="1" applyFill="1" applyBorder="1" applyAlignment="1">
      <alignment horizontal="center" vertical="center" wrapText="1" shrinkToFit="1"/>
    </xf>
    <xf numFmtId="49" fontId="23" fillId="11" borderId="7" xfId="0" applyNumberFormat="1" applyFont="1" applyFill="1" applyBorder="1" applyAlignment="1">
      <alignment horizontal="center" vertical="center" wrapText="1" shrinkToFit="1"/>
    </xf>
    <xf numFmtId="49" fontId="21" fillId="10" borderId="14" xfId="0" applyNumberFormat="1" applyFont="1" applyFill="1" applyBorder="1" applyAlignment="1">
      <alignment horizontal="center" vertical="center" wrapText="1" shrinkToFit="1"/>
    </xf>
    <xf numFmtId="49" fontId="21" fillId="10" borderId="7" xfId="0" applyNumberFormat="1" applyFont="1" applyFill="1" applyBorder="1" applyAlignment="1">
      <alignment horizontal="center" vertical="center" wrapText="1" shrinkToFit="1"/>
    </xf>
    <xf numFmtId="0" fontId="21" fillId="11" borderId="21" xfId="0" applyFont="1" applyFill="1" applyBorder="1" applyAlignment="1">
      <alignment horizontal="center"/>
    </xf>
    <xf numFmtId="0" fontId="21" fillId="11" borderId="12" xfId="0" applyFont="1" applyFill="1" applyBorder="1" applyAlignment="1">
      <alignment horizontal="center"/>
    </xf>
    <xf numFmtId="0" fontId="21" fillId="11" borderId="13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 vertical="center" wrapText="1" shrinkToFit="1"/>
    </xf>
    <xf numFmtId="0" fontId="21" fillId="9" borderId="18" xfId="0" applyFont="1" applyFill="1" applyBorder="1" applyAlignment="1">
      <alignment horizontal="center" vertical="center" wrapText="1" shrinkToFit="1"/>
    </xf>
    <xf numFmtId="0" fontId="21" fillId="9" borderId="10" xfId="0" applyFont="1" applyFill="1" applyBorder="1" applyAlignment="1">
      <alignment horizontal="center" vertical="center" wrapText="1" shrinkToFit="1"/>
    </xf>
    <xf numFmtId="0" fontId="21" fillId="9" borderId="1" xfId="0" applyFont="1" applyFill="1" applyBorder="1" applyAlignment="1">
      <alignment horizontal="center" vertical="center" wrapText="1" shrinkToFit="1"/>
    </xf>
    <xf numFmtId="0" fontId="21" fillId="9" borderId="45" xfId="0" applyFont="1" applyFill="1" applyBorder="1" applyAlignment="1">
      <alignment horizontal="center" vertical="center" wrapText="1" shrinkToFit="1"/>
    </xf>
    <xf numFmtId="0" fontId="21" fillId="9" borderId="35" xfId="0" applyFont="1" applyFill="1" applyBorder="1" applyAlignment="1">
      <alignment horizontal="center" vertical="center" wrapText="1" shrinkToFit="1"/>
    </xf>
    <xf numFmtId="0" fontId="21" fillId="9" borderId="36" xfId="0" applyFont="1" applyFill="1" applyBorder="1" applyAlignment="1">
      <alignment horizontal="center" vertical="center" wrapText="1" shrinkToFit="1"/>
    </xf>
    <xf numFmtId="0" fontId="7" fillId="12" borderId="34" xfId="0" applyFont="1" applyFill="1" applyBorder="1" applyAlignment="1" applyProtection="1">
      <alignment horizontal="center" vertical="center" wrapText="1" readingOrder="1"/>
      <protection locked="0"/>
    </xf>
    <xf numFmtId="0" fontId="7" fillId="12" borderId="55" xfId="0" applyFont="1" applyFill="1" applyBorder="1" applyAlignment="1" applyProtection="1">
      <alignment horizontal="center" vertical="center" wrapText="1" readingOrder="1"/>
      <protection locked="0"/>
    </xf>
    <xf numFmtId="0" fontId="7" fillId="12" borderId="67" xfId="0" applyFont="1" applyFill="1" applyBorder="1" applyAlignment="1" applyProtection="1">
      <alignment horizontal="center" vertical="center" wrapText="1" readingOrder="1"/>
      <protection locked="0"/>
    </xf>
    <xf numFmtId="0" fontId="12" fillId="17" borderId="0" xfId="0" applyFont="1" applyFill="1" applyAlignment="1">
      <alignment horizontal="right"/>
    </xf>
    <xf numFmtId="49" fontId="7" fillId="14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4" borderId="28" xfId="0" applyFont="1" applyFill="1" applyBorder="1" applyAlignment="1">
      <alignment vertical="center" wrapText="1" readingOrder="1"/>
    </xf>
    <xf numFmtId="0" fontId="7" fillId="6" borderId="9" xfId="0" applyFont="1" applyFill="1" applyBorder="1" applyAlignment="1" applyProtection="1">
      <alignment horizontal="center" wrapText="1" readingOrder="1"/>
      <protection locked="0"/>
    </xf>
    <xf numFmtId="0" fontId="7" fillId="6" borderId="10" xfId="0" applyFont="1" applyFill="1" applyBorder="1" applyAlignment="1" applyProtection="1">
      <alignment horizontal="center" wrapText="1" readingOrder="1"/>
      <protection locked="0"/>
    </xf>
    <xf numFmtId="0" fontId="7" fillId="6" borderId="17" xfId="0" applyFont="1" applyFill="1" applyBorder="1" applyAlignment="1" applyProtection="1">
      <alignment horizontal="center" wrapText="1" readingOrder="1"/>
      <protection locked="0"/>
    </xf>
    <xf numFmtId="0" fontId="7" fillId="12" borderId="11" xfId="0" applyFont="1" applyFill="1" applyBorder="1" applyAlignment="1" applyProtection="1">
      <alignment horizontal="center" vertical="center" wrapText="1" readingOrder="1"/>
      <protection locked="0"/>
    </xf>
    <xf numFmtId="0" fontId="7" fillId="12" borderId="18" xfId="0" applyFont="1" applyFill="1" applyBorder="1" applyAlignment="1" applyProtection="1">
      <alignment horizontal="center" vertical="center" wrapText="1" readingOrder="1"/>
      <protection locked="0"/>
    </xf>
    <xf numFmtId="0" fontId="7" fillId="12" borderId="2" xfId="0" applyFont="1" applyFill="1" applyBorder="1" applyAlignment="1" applyProtection="1">
      <alignment horizontal="center" vertical="center" wrapText="1" readingOrder="1"/>
      <protection locked="0"/>
    </xf>
    <xf numFmtId="0" fontId="7" fillId="12" borderId="1" xfId="0" applyFont="1" applyFill="1" applyBorder="1" applyAlignment="1" applyProtection="1">
      <alignment horizontal="center" vertical="center" wrapText="1" readingOrder="1"/>
      <protection locked="0"/>
    </xf>
    <xf numFmtId="0" fontId="7" fillId="12" borderId="14" xfId="0" applyFont="1" applyFill="1" applyBorder="1" applyAlignment="1" applyProtection="1">
      <alignment horizontal="center" vertical="center" wrapText="1" readingOrder="1"/>
      <protection locked="0"/>
    </xf>
    <xf numFmtId="0" fontId="7" fillId="12" borderId="38" xfId="0" applyFont="1" applyFill="1" applyBorder="1" applyAlignment="1" applyProtection="1">
      <alignment horizontal="center" vertical="center" wrapText="1" readingOrder="1"/>
      <protection locked="0"/>
    </xf>
    <xf numFmtId="0" fontId="7" fillId="14" borderId="26" xfId="0" applyFont="1" applyFill="1" applyBorder="1" applyAlignment="1" applyProtection="1">
      <alignment vertical="center" wrapText="1" readingOrder="1"/>
      <protection locked="0"/>
    </xf>
    <xf numFmtId="0" fontId="21" fillId="7" borderId="0" xfId="0" applyFont="1" applyFill="1" applyAlignment="1">
      <alignment horizontal="center"/>
    </xf>
    <xf numFmtId="0" fontId="7" fillId="12" borderId="9" xfId="0" applyFont="1" applyFill="1" applyBorder="1" applyAlignment="1" applyProtection="1">
      <alignment horizontal="center" vertical="center" wrapText="1" readingOrder="1"/>
      <protection locked="0"/>
    </xf>
    <xf numFmtId="0" fontId="7" fillId="12" borderId="10" xfId="0" applyFont="1" applyFill="1" applyBorder="1" applyAlignment="1" applyProtection="1">
      <alignment horizontal="center" vertical="center" wrapText="1" readingOrder="1"/>
      <protection locked="0"/>
    </xf>
    <xf numFmtId="0" fontId="7" fillId="6" borderId="26" xfId="0" applyFont="1" applyFill="1" applyBorder="1" applyAlignment="1" applyProtection="1">
      <alignment horizontal="center" wrapText="1" readingOrder="1"/>
      <protection locked="0"/>
    </xf>
    <xf numFmtId="0" fontId="7" fillId="6" borderId="27" xfId="0" applyFont="1" applyFill="1" applyBorder="1" applyAlignment="1" applyProtection="1">
      <alignment horizontal="center" wrapText="1" readingOrder="1"/>
      <protection locked="0"/>
    </xf>
    <xf numFmtId="0" fontId="7" fillId="6" borderId="28" xfId="0" applyFont="1" applyFill="1" applyBorder="1" applyAlignment="1" applyProtection="1">
      <alignment horizontal="center" wrapText="1" readingOrder="1"/>
      <protection locked="0"/>
    </xf>
    <xf numFmtId="0" fontId="7" fillId="12" borderId="48" xfId="0" applyFont="1" applyFill="1" applyBorder="1" applyAlignment="1" applyProtection="1">
      <alignment horizontal="center" vertical="center" wrapText="1" readingOrder="1"/>
      <protection locked="0"/>
    </xf>
    <xf numFmtId="0" fontId="7" fillId="12" borderId="49" xfId="0" applyFont="1" applyFill="1" applyBorder="1" applyAlignment="1" applyProtection="1">
      <alignment horizontal="center" vertical="center" wrapText="1" readingOrder="1"/>
      <protection locked="0"/>
    </xf>
    <xf numFmtId="0" fontId="3" fillId="14" borderId="39" xfId="0" applyFont="1" applyFill="1" applyBorder="1" applyAlignment="1">
      <alignment vertical="center" wrapText="1" readingOrder="1"/>
    </xf>
    <xf numFmtId="0" fontId="8" fillId="0" borderId="34" xfId="0" applyFont="1" applyBorder="1" applyAlignment="1" applyProtection="1">
      <alignment horizontal="left" vertical="center" wrapText="1" readingOrder="1"/>
      <protection locked="0"/>
    </xf>
    <xf numFmtId="0" fontId="8" fillId="0" borderId="55" xfId="0" applyFont="1" applyBorder="1" applyAlignment="1" applyProtection="1">
      <alignment horizontal="left" vertical="center" wrapText="1" readingOrder="1"/>
      <protection locked="0"/>
    </xf>
    <xf numFmtId="0" fontId="8" fillId="0" borderId="29" xfId="0" applyFont="1" applyBorder="1" applyAlignment="1" applyProtection="1">
      <alignment horizontal="left" vertical="center" wrapText="1" readingOrder="1"/>
      <protection locked="0"/>
    </xf>
    <xf numFmtId="0" fontId="25" fillId="17" borderId="34" xfId="0" applyFont="1" applyFill="1" applyBorder="1" applyAlignment="1" applyProtection="1">
      <alignment horizontal="left" vertical="center" wrapText="1" readingOrder="1"/>
      <protection locked="0"/>
    </xf>
    <xf numFmtId="0" fontId="25" fillId="17" borderId="55" xfId="0" applyFont="1" applyFill="1" applyBorder="1" applyAlignment="1" applyProtection="1">
      <alignment horizontal="left" vertical="center" wrapText="1" readingOrder="1"/>
      <protection locked="0"/>
    </xf>
    <xf numFmtId="0" fontId="25" fillId="17" borderId="29" xfId="0" applyFont="1" applyFill="1" applyBorder="1" applyAlignment="1" applyProtection="1">
      <alignment horizontal="left" vertical="center" wrapText="1" readingOrder="1"/>
      <protection locked="0"/>
    </xf>
    <xf numFmtId="0" fontId="25" fillId="17" borderId="45" xfId="0" applyFont="1" applyFill="1" applyBorder="1" applyAlignment="1" applyProtection="1">
      <alignment horizontal="left" vertical="center" wrapText="1" readingOrder="1"/>
      <protection locked="0"/>
    </xf>
    <xf numFmtId="0" fontId="25" fillId="17" borderId="35" xfId="0" applyFont="1" applyFill="1" applyBorder="1" applyAlignment="1" applyProtection="1">
      <alignment horizontal="left" vertical="center" wrapText="1" readingOrder="1"/>
      <protection locked="0"/>
    </xf>
    <xf numFmtId="0" fontId="25" fillId="17" borderId="56" xfId="0" applyFont="1" applyFill="1" applyBorder="1" applyAlignment="1" applyProtection="1">
      <alignment horizontal="left" vertical="center" wrapText="1" readingOrder="1"/>
      <protection locked="0"/>
    </xf>
    <xf numFmtId="49" fontId="25" fillId="17" borderId="5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63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37" xfId="0" applyNumberFormat="1" applyFont="1" applyFill="1" applyBorder="1" applyAlignment="1" applyProtection="1">
      <alignment horizontal="left" vertical="center" wrapText="1" readingOrder="1"/>
      <protection locked="0"/>
    </xf>
    <xf numFmtId="0" fontId="25" fillId="17" borderId="31" xfId="0" applyFont="1" applyFill="1" applyBorder="1" applyAlignment="1" applyProtection="1">
      <alignment horizontal="left" vertical="center" wrapText="1" readingOrder="1"/>
      <protection locked="0"/>
    </xf>
    <xf numFmtId="0" fontId="25" fillId="17" borderId="62" xfId="0" applyFont="1" applyFill="1" applyBorder="1" applyAlignment="1" applyProtection="1">
      <alignment horizontal="left" vertical="center" wrapText="1" readingOrder="1"/>
      <protection locked="0"/>
    </xf>
    <xf numFmtId="0" fontId="25" fillId="17" borderId="30" xfId="0" applyFont="1" applyFill="1" applyBorder="1" applyAlignment="1" applyProtection="1">
      <alignment horizontal="left" vertical="center" wrapText="1" readingOrder="1"/>
      <protection locked="0"/>
    </xf>
    <xf numFmtId="0" fontId="25" fillId="17" borderId="41" xfId="0" applyFont="1" applyFill="1" applyBorder="1" applyAlignment="1" applyProtection="1">
      <alignment horizontal="left" vertical="center" wrapText="1" readingOrder="1"/>
      <protection locked="0"/>
    </xf>
    <xf numFmtId="0" fontId="25" fillId="17" borderId="57" xfId="0" applyFont="1" applyFill="1" applyBorder="1" applyAlignment="1" applyProtection="1">
      <alignment horizontal="left" vertical="center" wrapText="1" readingOrder="1"/>
      <protection locked="0"/>
    </xf>
    <xf numFmtId="0" fontId="25" fillId="17" borderId="60" xfId="0" applyFont="1" applyFill="1" applyBorder="1" applyAlignment="1" applyProtection="1">
      <alignment horizontal="left" vertical="center" wrapText="1" readingOrder="1"/>
      <protection locked="0"/>
    </xf>
    <xf numFmtId="3" fontId="8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8" fillId="0" borderId="29" xfId="0" applyNumberFormat="1" applyFont="1" applyBorder="1" applyAlignment="1" applyProtection="1">
      <alignment horizontal="center" vertical="center" wrapText="1" readingOrder="1"/>
      <protection locked="0"/>
    </xf>
    <xf numFmtId="49" fontId="25" fillId="17" borderId="2" xfId="0" applyNumberFormat="1" applyFont="1" applyFill="1" applyBorder="1" applyAlignment="1" applyProtection="1">
      <alignment horizontal="left" vertical="center" wrapText="1" readingOrder="1"/>
      <protection locked="0"/>
    </xf>
    <xf numFmtId="3" fontId="25" fillId="17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29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17" borderId="38" xfId="0" applyFont="1" applyFill="1" applyBorder="1" applyAlignment="1" applyProtection="1">
      <alignment horizontal="left" vertical="center" wrapText="1" readingOrder="1"/>
      <protection locked="0"/>
    </xf>
    <xf numFmtId="0" fontId="25" fillId="17" borderId="27" xfId="0" applyFont="1" applyFill="1" applyBorder="1" applyAlignment="1" applyProtection="1">
      <alignment horizontal="left" vertical="center" wrapText="1" readingOrder="1"/>
      <protection locked="0"/>
    </xf>
    <xf numFmtId="0" fontId="25" fillId="17" borderId="39" xfId="0" applyFont="1" applyFill="1" applyBorder="1" applyAlignment="1" applyProtection="1">
      <alignment horizontal="left" vertical="center" wrapText="1" readingOrder="1"/>
      <protection locked="0"/>
    </xf>
    <xf numFmtId="3" fontId="25" fillId="17" borderId="45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56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51" xfId="0" applyNumberFormat="1" applyFont="1" applyFill="1" applyBorder="1" applyAlignment="1" applyProtection="1">
      <alignment horizontal="center" vertical="center" wrapText="1" readingOrder="1"/>
      <protection locked="0"/>
    </xf>
    <xf numFmtId="3" fontId="25" fillId="17" borderId="37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17" borderId="2" xfId="0" applyFont="1" applyFill="1" applyBorder="1" applyAlignment="1" applyProtection="1">
      <alignment horizontal="left" vertical="center" wrapText="1" readingOrder="1"/>
      <protection locked="0"/>
    </xf>
    <xf numFmtId="49" fontId="7" fillId="14" borderId="58" xfId="0" applyNumberFormat="1" applyFont="1" applyFill="1" applyBorder="1" applyAlignment="1" applyProtection="1">
      <alignment vertical="center" wrapText="1" readingOrder="1"/>
      <protection locked="0"/>
    </xf>
    <xf numFmtId="0" fontId="3" fillId="14" borderId="64" xfId="0" applyFont="1" applyFill="1" applyBorder="1" applyAlignment="1">
      <alignment vertical="center" wrapText="1" readingOrder="1"/>
    </xf>
    <xf numFmtId="49" fontId="8" fillId="0" borderId="2" xfId="0" applyNumberFormat="1" applyFont="1" applyBorder="1" applyAlignment="1" applyProtection="1">
      <alignment horizontal="left" vertical="center" wrapText="1" readingOrder="1"/>
      <protection locked="0"/>
    </xf>
    <xf numFmtId="49" fontId="25" fillId="17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5" fillId="17" borderId="51" xfId="0" applyFont="1" applyFill="1" applyBorder="1" applyAlignment="1" applyProtection="1">
      <alignment horizontal="left" vertical="center" wrapText="1" readingOrder="1"/>
      <protection locked="0"/>
    </xf>
    <xf numFmtId="0" fontId="25" fillId="17" borderId="63" xfId="0" applyFont="1" applyFill="1" applyBorder="1" applyAlignment="1" applyProtection="1">
      <alignment horizontal="left" vertical="center" wrapText="1" readingOrder="1"/>
      <protection locked="0"/>
    </xf>
    <xf numFmtId="0" fontId="25" fillId="17" borderId="37" xfId="0" applyFont="1" applyFill="1" applyBorder="1" applyAlignment="1" applyProtection="1">
      <alignment horizontal="left" vertical="center" wrapText="1" readingOrder="1"/>
      <protection locked="0"/>
    </xf>
    <xf numFmtId="0" fontId="7" fillId="6" borderId="52" xfId="0" applyFont="1" applyFill="1" applyBorder="1" applyAlignment="1" applyProtection="1">
      <alignment horizontal="center" wrapText="1" readingOrder="1"/>
      <protection locked="0"/>
    </xf>
    <xf numFmtId="0" fontId="7" fillId="6" borderId="53" xfId="0" applyFont="1" applyFill="1" applyBorder="1" applyAlignment="1" applyProtection="1">
      <alignment horizontal="center" wrapText="1" readingOrder="1"/>
      <protection locked="0"/>
    </xf>
    <xf numFmtId="0" fontId="7" fillId="6" borderId="54" xfId="0" applyFont="1" applyFill="1" applyBorder="1" applyAlignment="1" applyProtection="1">
      <alignment horizont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7" fillId="12" borderId="42" xfId="0" applyFont="1" applyFill="1" applyBorder="1" applyAlignment="1" applyProtection="1">
      <alignment horizontal="center" vertical="center" wrapText="1" readingOrder="1"/>
      <protection locked="0"/>
    </xf>
    <xf numFmtId="0" fontId="7" fillId="12" borderId="59" xfId="0" applyFont="1" applyFill="1" applyBorder="1" applyAlignment="1" applyProtection="1">
      <alignment horizontal="center" vertical="center" wrapText="1" readingOrder="1"/>
      <protection locked="0"/>
    </xf>
    <xf numFmtId="0" fontId="7" fillId="12" borderId="43" xfId="0" applyFont="1" applyFill="1" applyBorder="1" applyAlignment="1" applyProtection="1">
      <alignment horizontal="center" vertical="center" wrapText="1" readingOrder="1"/>
      <protection locked="0"/>
    </xf>
    <xf numFmtId="0" fontId="7" fillId="12" borderId="41" xfId="0" applyFont="1" applyFill="1" applyBorder="1" applyAlignment="1" applyProtection="1">
      <alignment horizontal="center" vertical="center" wrapText="1" readingOrder="1"/>
      <protection locked="0"/>
    </xf>
    <xf numFmtId="0" fontId="7" fillId="12" borderId="57" xfId="0" applyFont="1" applyFill="1" applyBorder="1" applyAlignment="1" applyProtection="1">
      <alignment horizontal="center" vertical="center" wrapText="1" readingOrder="1"/>
      <protection locked="0"/>
    </xf>
    <xf numFmtId="0" fontId="7" fillId="12" borderId="60" xfId="0" applyFont="1" applyFill="1" applyBorder="1" applyAlignment="1" applyProtection="1">
      <alignment horizontal="center" vertical="center" wrapText="1" readingOrder="1"/>
      <protection locked="0"/>
    </xf>
    <xf numFmtId="49" fontId="25" fillId="17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55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29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41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57" xfId="0" applyNumberFormat="1" applyFont="1" applyFill="1" applyBorder="1" applyAlignment="1" applyProtection="1">
      <alignment horizontal="left" vertical="center" wrapText="1" readingOrder="1"/>
      <protection locked="0"/>
    </xf>
    <xf numFmtId="49" fontId="25" fillId="17" borderId="60" xfId="0" applyNumberFormat="1" applyFont="1" applyFill="1" applyBorder="1" applyAlignment="1" applyProtection="1">
      <alignment horizontal="left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Normal="100" workbookViewId="0">
      <selection activeCell="H28" sqref="H28"/>
    </sheetView>
  </sheetViews>
  <sheetFormatPr defaultRowHeight="12.75" x14ac:dyDescent="0.2"/>
  <cols>
    <col min="1" max="1" width="7.140625" customWidth="1"/>
    <col min="2" max="2" width="30.42578125" customWidth="1"/>
    <col min="3" max="3" width="10.5703125" customWidth="1"/>
    <col min="4" max="4" width="9.140625" customWidth="1"/>
    <col min="5" max="5" width="6.42578125" customWidth="1"/>
    <col min="6" max="6" width="10.5703125" customWidth="1"/>
    <col min="7" max="7" width="6.140625" customWidth="1"/>
    <col min="8" max="8" width="28.28515625" customWidth="1"/>
    <col min="9" max="9" width="11.85546875" customWidth="1"/>
    <col min="10" max="10" width="9.140625" customWidth="1"/>
    <col min="11" max="11" width="6.7109375" customWidth="1"/>
    <col min="12" max="12" width="10.7109375" customWidth="1"/>
    <col min="13" max="14" width="11.5703125" bestFit="1" customWidth="1"/>
  </cols>
  <sheetData>
    <row r="1" spans="1:14" x14ac:dyDescent="0.2">
      <c r="J1" s="370"/>
      <c r="K1" s="370"/>
      <c r="L1" s="371"/>
    </row>
    <row r="2" spans="1:14" x14ac:dyDescent="0.2">
      <c r="A2" s="128"/>
      <c r="B2" s="380" t="s">
        <v>192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4" x14ac:dyDescent="0.2">
      <c r="A3" s="128"/>
      <c r="B3" s="380" t="s">
        <v>170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</row>
    <row r="4" spans="1:14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14" x14ac:dyDescent="0.2">
      <c r="A5" s="128"/>
      <c r="B5" s="380" t="s">
        <v>48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</row>
    <row r="6" spans="1:14" ht="13.5" thickBot="1" x14ac:dyDescent="0.25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30" t="s">
        <v>51</v>
      </c>
    </row>
    <row r="7" spans="1:14" x14ac:dyDescent="0.2">
      <c r="A7" s="381" t="s">
        <v>34</v>
      </c>
      <c r="B7" s="382"/>
      <c r="C7" s="382"/>
      <c r="D7" s="382"/>
      <c r="E7" s="382"/>
      <c r="F7" s="382"/>
      <c r="G7" s="383" t="s">
        <v>38</v>
      </c>
      <c r="H7" s="384"/>
      <c r="I7" s="384"/>
      <c r="J7" s="384"/>
      <c r="K7" s="384"/>
      <c r="L7" s="385"/>
    </row>
    <row r="8" spans="1:14" ht="36.75" customHeight="1" thickBot="1" x14ac:dyDescent="0.25">
      <c r="A8" s="372" t="s">
        <v>52</v>
      </c>
      <c r="B8" s="373"/>
      <c r="C8" s="178" t="s">
        <v>59</v>
      </c>
      <c r="D8" s="178" t="s">
        <v>117</v>
      </c>
      <c r="E8" s="178" t="s">
        <v>58</v>
      </c>
      <c r="F8" s="178" t="s">
        <v>185</v>
      </c>
      <c r="G8" s="374" t="s">
        <v>52</v>
      </c>
      <c r="H8" s="375"/>
      <c r="I8" s="326" t="s">
        <v>59</v>
      </c>
      <c r="J8" s="332" t="s">
        <v>117</v>
      </c>
      <c r="K8" s="327" t="s">
        <v>58</v>
      </c>
      <c r="L8" s="204" t="s">
        <v>185</v>
      </c>
    </row>
    <row r="9" spans="1:14" ht="18.75" customHeight="1" x14ac:dyDescent="0.2">
      <c r="A9" s="216" t="s">
        <v>131</v>
      </c>
      <c r="B9" s="217" t="s">
        <v>132</v>
      </c>
      <c r="C9" s="218">
        <f>SUM('Bevételek(Óvoda 2023)'!C8/1000)</f>
        <v>0</v>
      </c>
      <c r="D9" s="218">
        <f>SUM('Bevételek(Óvoda 2023)'!D8/1000)</f>
        <v>0</v>
      </c>
      <c r="E9" s="212">
        <v>0</v>
      </c>
      <c r="F9" s="131">
        <f>SUM('Bevételek(Óvoda 2023)'!F8/1000)</f>
        <v>0</v>
      </c>
      <c r="G9" s="210" t="s">
        <v>60</v>
      </c>
      <c r="H9" s="211" t="s">
        <v>35</v>
      </c>
      <c r="I9" s="211">
        <f>SUM('Kiadások(Óvoda 2020)'!C18/1000)</f>
        <v>84560</v>
      </c>
      <c r="J9" s="211">
        <f>SUM('Kiadások(Óvoda 2020)'!D18/1000)</f>
        <v>1100</v>
      </c>
      <c r="K9" s="293">
        <f>L9/I9*100</f>
        <v>101.30085146641439</v>
      </c>
      <c r="L9" s="367">
        <f>SUM('Kiadások(Óvoda 2020)'!F18/1000)</f>
        <v>85660</v>
      </c>
    </row>
    <row r="10" spans="1:14" ht="19.5" customHeight="1" x14ac:dyDescent="0.2">
      <c r="A10" s="160" t="s">
        <v>100</v>
      </c>
      <c r="B10" s="132" t="s">
        <v>66</v>
      </c>
      <c r="C10" s="164">
        <f>SUM('Bevételek(Óvoda 2023)'!C9/1000)</f>
        <v>0</v>
      </c>
      <c r="D10" s="164">
        <f>SUM('Bevételek(Óvoda 2023)'!D9/1000)</f>
        <v>1453</v>
      </c>
      <c r="E10" s="133">
        <v>0</v>
      </c>
      <c r="F10" s="366">
        <f>SUM('Bevételek(Óvoda 2023)'!F9/1000)</f>
        <v>1453</v>
      </c>
      <c r="G10" s="213" t="s">
        <v>53</v>
      </c>
      <c r="H10" s="136" t="s">
        <v>43</v>
      </c>
      <c r="I10" s="136">
        <f>SUM('Kiadások(Óvoda 2020)'!C21/1000)</f>
        <v>10985</v>
      </c>
      <c r="J10" s="136">
        <f>SUM('Kiadások(Óvoda 2020)'!D21/1000)</f>
        <v>170</v>
      </c>
      <c r="K10" s="133">
        <f t="shared" ref="K10:K11" si="0">L10/I10*100</f>
        <v>101.54756486117434</v>
      </c>
      <c r="L10" s="137">
        <f>SUM('Kiadások(Óvoda 2020)'!F21/1000)</f>
        <v>11155</v>
      </c>
    </row>
    <row r="11" spans="1:14" ht="19.5" customHeight="1" x14ac:dyDescent="0.2">
      <c r="A11" s="160" t="s">
        <v>129</v>
      </c>
      <c r="B11" s="132" t="s">
        <v>130</v>
      </c>
      <c r="C11" s="164">
        <f>SUM('Bevételek(Óvoda 2023)'!C10/1000)</f>
        <v>0</v>
      </c>
      <c r="D11" s="164">
        <f>SUM('Bevételek(Óvoda 2023)'!D10/1000)</f>
        <v>0</v>
      </c>
      <c r="E11" s="133">
        <v>0</v>
      </c>
      <c r="F11" s="203">
        <f>SUM('Bevételek(Óvoda 2023)'!F10/1000)</f>
        <v>0</v>
      </c>
      <c r="G11" s="135" t="s">
        <v>54</v>
      </c>
      <c r="H11" s="136" t="s">
        <v>37</v>
      </c>
      <c r="I11" s="136">
        <f>SUM('Kiadások(Óvoda 2020)'!C33/1000)</f>
        <v>18216</v>
      </c>
      <c r="J11" s="136">
        <f>SUM('Kiadások(Óvoda 2020)'!D33/1000)</f>
        <v>3867.7</v>
      </c>
      <c r="K11" s="294">
        <f t="shared" si="0"/>
        <v>121.23243302591129</v>
      </c>
      <c r="L11" s="137">
        <f>SUM('Kiadások(Óvoda 2020)'!F33/1000)</f>
        <v>22083.7</v>
      </c>
    </row>
    <row r="12" spans="1:14" ht="20.100000000000001" customHeight="1" x14ac:dyDescent="0.2">
      <c r="A12" s="160" t="s">
        <v>62</v>
      </c>
      <c r="B12" s="132" t="s">
        <v>95</v>
      </c>
      <c r="C12" s="164">
        <f>SUM('Bevételek(Óvoda 2023)'!C11/1000)</f>
        <v>0</v>
      </c>
      <c r="D12" s="164">
        <f>SUM('Bevételek(Óvoda 2023)'!D11/1000)</f>
        <v>5</v>
      </c>
      <c r="E12" s="133">
        <v>0</v>
      </c>
      <c r="F12" s="219">
        <f>SUM('Bevételek(Óvoda 2023)'!F11/1000)</f>
        <v>5</v>
      </c>
      <c r="G12" s="18"/>
      <c r="H12" s="222"/>
      <c r="I12" s="222"/>
      <c r="J12" s="222"/>
      <c r="K12" s="209"/>
      <c r="L12" s="215"/>
      <c r="M12" s="19"/>
      <c r="N12" s="19"/>
    </row>
    <row r="13" spans="1:14" ht="18.75" customHeight="1" x14ac:dyDescent="0.25">
      <c r="A13" s="161" t="s">
        <v>56</v>
      </c>
      <c r="B13" s="134" t="s">
        <v>42</v>
      </c>
      <c r="C13" s="136">
        <f>SUM('Bevételek(Óvoda 2023)'!C14/1000)</f>
        <v>99197.96</v>
      </c>
      <c r="D13" s="136">
        <f>SUM('Bevételek(Óvoda 2023)'!D14/1000)</f>
        <v>-1822.63</v>
      </c>
      <c r="E13" s="133">
        <f>F13/C13*100</f>
        <v>98.16263358641649</v>
      </c>
      <c r="F13" s="220">
        <f>SUM('Bevételek(Óvoda 2023)'!F14/1000)</f>
        <v>97375.33</v>
      </c>
      <c r="G13" s="214"/>
      <c r="H13" s="209"/>
      <c r="I13" s="209"/>
      <c r="J13" s="209"/>
      <c r="K13" s="209"/>
      <c r="L13" s="215"/>
      <c r="M13" s="25"/>
      <c r="N13" s="25"/>
    </row>
    <row r="14" spans="1:14" ht="20.100000000000001" customHeight="1" thickBot="1" x14ac:dyDescent="0.3">
      <c r="A14" s="162" t="s">
        <v>56</v>
      </c>
      <c r="B14" s="138" t="s">
        <v>44</v>
      </c>
      <c r="C14" s="136">
        <f>SUM('Bevételek(Óvoda 2023)'!C15/1000)</f>
        <v>15010.763999999999</v>
      </c>
      <c r="D14" s="136">
        <f>SUM('Bevételek(Óvoda 2023)'!D15/1000)</f>
        <v>-4910.8559999999998</v>
      </c>
      <c r="E14" s="133">
        <v>0</v>
      </c>
      <c r="F14" s="220">
        <f>SUM('Bevételek(Óvoda 2023)'!F15/1000)</f>
        <v>10099.907999999999</v>
      </c>
      <c r="G14" s="328"/>
      <c r="H14" s="329"/>
      <c r="I14" s="329"/>
      <c r="J14" s="330"/>
      <c r="K14" s="330"/>
      <c r="L14" s="331"/>
      <c r="M14" s="25"/>
      <c r="N14" s="25"/>
    </row>
    <row r="15" spans="1:14" ht="20.100000000000001" customHeight="1" thickBot="1" x14ac:dyDescent="0.3">
      <c r="A15" s="163" t="s">
        <v>56</v>
      </c>
      <c r="B15" s="138" t="s">
        <v>189</v>
      </c>
      <c r="C15" s="148">
        <v>0</v>
      </c>
      <c r="D15" s="136">
        <f>SUM('Bevételek(Óvoda 2023)'!D16/1000)</f>
        <v>11866.186</v>
      </c>
      <c r="E15" s="357">
        <v>0</v>
      </c>
      <c r="F15" s="220">
        <f>SUM('Bevételek(Óvoda 2023)'!F16/1000)</f>
        <v>11866.186</v>
      </c>
      <c r="G15" s="358"/>
      <c r="H15" s="359"/>
      <c r="I15" s="360"/>
      <c r="J15" s="361"/>
      <c r="K15" s="361"/>
      <c r="L15" s="362"/>
      <c r="M15" s="25"/>
      <c r="N15" s="25"/>
    </row>
    <row r="16" spans="1:14" ht="20.100000000000001" customHeight="1" thickBot="1" x14ac:dyDescent="0.25">
      <c r="A16" s="140"/>
      <c r="B16" s="141" t="s">
        <v>75</v>
      </c>
      <c r="C16" s="142">
        <f>SUM(C9:C14)</f>
        <v>114208.724</v>
      </c>
      <c r="D16" s="142">
        <f>SUM(D9:D15)</f>
        <v>6590.7</v>
      </c>
      <c r="E16" s="221">
        <f>F16/C16*100</f>
        <v>105.77075005233401</v>
      </c>
      <c r="F16" s="144">
        <f>SUM(F9:F15)</f>
        <v>120799.424</v>
      </c>
      <c r="G16" s="205"/>
      <c r="H16" s="206" t="s">
        <v>45</v>
      </c>
      <c r="I16" s="207">
        <f>SUM(I9:I14)</f>
        <v>113761</v>
      </c>
      <c r="J16" s="207">
        <f t="shared" ref="J16" si="1">SUM(J9:J14)</f>
        <v>5137.7</v>
      </c>
      <c r="K16" s="208">
        <f>L16/I16*100</f>
        <v>104.51622260704458</v>
      </c>
      <c r="L16" s="207">
        <f>SUM(L9:L14)</f>
        <v>118898.7</v>
      </c>
      <c r="M16" s="19"/>
      <c r="N16" s="19"/>
    </row>
    <row r="17" spans="1:14" ht="20.100000000000001" customHeight="1" x14ac:dyDescent="0.2">
      <c r="A17" s="277"/>
      <c r="B17" s="278"/>
      <c r="C17" s="279"/>
      <c r="D17" s="279"/>
      <c r="E17" s="143"/>
      <c r="F17" s="275"/>
      <c r="G17" s="272" t="s">
        <v>158</v>
      </c>
      <c r="H17" s="211" t="s">
        <v>137</v>
      </c>
      <c r="I17" s="273"/>
      <c r="J17" s="273"/>
      <c r="K17" s="274"/>
      <c r="L17" s="275">
        <f>SUM('Kiadások(Óvoda 2020)'!F34/1000)</f>
        <v>0</v>
      </c>
      <c r="M17" s="19"/>
      <c r="N17" s="19"/>
    </row>
    <row r="18" spans="1:14" ht="20.100000000000001" customHeight="1" thickBot="1" x14ac:dyDescent="0.25">
      <c r="A18" s="163" t="s">
        <v>55</v>
      </c>
      <c r="B18" s="145" t="s">
        <v>46</v>
      </c>
      <c r="C18" s="148">
        <f>SUM('Bevételek(Óvoda 2023)'!C12/1000)</f>
        <v>1368.376</v>
      </c>
      <c r="D18" s="148">
        <f>SUM('Bevételek(Óvoda 2023)'!D12/1000)</f>
        <v>0</v>
      </c>
      <c r="E18" s="276">
        <f>F18/C18*100</f>
        <v>100</v>
      </c>
      <c r="F18" s="146">
        <f>'Bevételek COFOG'!F9/1000</f>
        <v>1368.376</v>
      </c>
      <c r="G18" s="147" t="s">
        <v>101</v>
      </c>
      <c r="H18" s="148" t="s">
        <v>102</v>
      </c>
      <c r="I18" s="165">
        <f>SUM('Kiadások(Óvoda 2020)'!C38/1000)</f>
        <v>1816.1</v>
      </c>
      <c r="J18" s="165">
        <f>SUM('Kiadások(Óvoda 2020)'!D38/1000)</f>
        <v>1453</v>
      </c>
      <c r="K18" s="166">
        <f>L18/I18*100</f>
        <v>180.0066075656627</v>
      </c>
      <c r="L18" s="139">
        <f>SUM('Kiadások(Óvoda 2020)'!F38/1000)</f>
        <v>3269.1</v>
      </c>
      <c r="M18" s="19"/>
      <c r="N18" s="19"/>
    </row>
    <row r="19" spans="1:14" ht="21.75" customHeight="1" thickBot="1" x14ac:dyDescent="0.25">
      <c r="A19" s="376" t="s">
        <v>47</v>
      </c>
      <c r="B19" s="377"/>
      <c r="C19" s="149">
        <f>SUM(C16:C18)</f>
        <v>115577.1</v>
      </c>
      <c r="D19" s="149">
        <f t="shared" ref="D19" si="2">SUM(D16:D18)</f>
        <v>6590.7</v>
      </c>
      <c r="E19" s="151">
        <f>F19/C19*100</f>
        <v>105.70242721092673</v>
      </c>
      <c r="F19" s="150">
        <f>SUM(F16:F18)</f>
        <v>122167.8</v>
      </c>
      <c r="G19" s="378" t="s">
        <v>47</v>
      </c>
      <c r="H19" s="379"/>
      <c r="I19" s="339">
        <f>SUM(I16:I18)</f>
        <v>115577.1</v>
      </c>
      <c r="J19" s="338">
        <f t="shared" ref="J19" si="3">SUM(J16:J18)</f>
        <v>6590.7</v>
      </c>
      <c r="K19" s="337">
        <f>L19/I19*100</f>
        <v>105.70242721092673</v>
      </c>
      <c r="L19" s="336">
        <f>SUM(L16:L18)</f>
        <v>122167.8</v>
      </c>
      <c r="M19" s="19"/>
      <c r="N19" s="19"/>
    </row>
    <row r="22" spans="1:14" ht="15.75" x14ac:dyDescent="0.25">
      <c r="D22" s="26"/>
      <c r="E22" s="26"/>
      <c r="F22" s="26"/>
    </row>
    <row r="23" spans="1:14" ht="15.75" x14ac:dyDescent="0.25">
      <c r="D23" s="26"/>
      <c r="E23" s="26"/>
      <c r="F23" s="26"/>
    </row>
    <row r="24" spans="1:14" ht="15.75" x14ac:dyDescent="0.25">
      <c r="D24" s="27"/>
      <c r="E24" s="27"/>
      <c r="F24" s="27"/>
    </row>
    <row r="25" spans="1:14" ht="15.75" x14ac:dyDescent="0.25">
      <c r="D25" s="26"/>
      <c r="E25" s="26"/>
      <c r="F25" s="26"/>
    </row>
    <row r="26" spans="1:14" ht="15.75" x14ac:dyDescent="0.25">
      <c r="B26" s="28"/>
      <c r="C26" s="28"/>
      <c r="D26" s="29"/>
      <c r="E26" s="29"/>
      <c r="F26" s="29"/>
      <c r="G26" s="28"/>
      <c r="H26" s="28"/>
      <c r="I26" s="28"/>
    </row>
    <row r="27" spans="1:14" x14ac:dyDescent="0.2">
      <c r="B27" s="28"/>
      <c r="C27" s="28"/>
      <c r="D27" s="28"/>
      <c r="E27" s="28"/>
      <c r="F27" s="30"/>
      <c r="G27" s="28"/>
      <c r="H27" s="28"/>
      <c r="I27" s="28"/>
    </row>
    <row r="28" spans="1:14" x14ac:dyDescent="0.2">
      <c r="B28" s="28"/>
      <c r="C28" s="28"/>
      <c r="D28" s="28"/>
      <c r="E28" s="28"/>
      <c r="F28" s="30"/>
      <c r="G28" s="28"/>
      <c r="H28" s="28"/>
      <c r="I28" s="28"/>
    </row>
    <row r="29" spans="1:14" x14ac:dyDescent="0.2">
      <c r="B29" s="28"/>
      <c r="C29" s="28"/>
      <c r="D29" s="28"/>
      <c r="E29" s="28"/>
      <c r="F29" s="12"/>
      <c r="G29" s="28"/>
      <c r="H29" s="28"/>
      <c r="I29" s="28"/>
    </row>
    <row r="30" spans="1:14" x14ac:dyDescent="0.2">
      <c r="B30" s="28"/>
      <c r="C30" s="28"/>
      <c r="D30" s="28"/>
      <c r="E30" s="28"/>
      <c r="F30" s="28"/>
      <c r="G30" s="28"/>
      <c r="H30" s="28"/>
      <c r="I30" s="28"/>
    </row>
  </sheetData>
  <sheetProtection algorithmName="SHA-512" hashValue="EnjqxnQkGdumc/bPlzSeI80N5njtq8C/Y1JakwRlmilR3Cj0UdpqnXGVnNf4ME9g0AZydcbRAH4sfwSV8oJfqA==" saltValue="KKHAwqPGxQbsbqRTKp3ZVw==" spinCount="100000" sheet="1" objects="1" scenarios="1"/>
  <mergeCells count="10">
    <mergeCell ref="J1:L1"/>
    <mergeCell ref="A8:B8"/>
    <mergeCell ref="G8:H8"/>
    <mergeCell ref="A19:B19"/>
    <mergeCell ref="G19:H19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3" orientation="landscape" r:id="rId1"/>
  <headerFooter alignWithMargins="0">
    <oddHeader>&amp;LPiliscsévi "Aranykapu" Óvoda-Bölcsőde&amp;RIV/1. számú melléklet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showGridLines="0" zoomScaleNormal="100" workbookViewId="0">
      <selection activeCell="N25" sqref="N25"/>
    </sheetView>
  </sheetViews>
  <sheetFormatPr defaultRowHeight="12.75" x14ac:dyDescent="0.2"/>
  <cols>
    <col min="1" max="1" width="12.28515625" customWidth="1"/>
    <col min="2" max="2" width="37.28515625" customWidth="1"/>
    <col min="3" max="3" width="13.42578125" customWidth="1"/>
    <col min="4" max="4" width="11.7109375" customWidth="1"/>
    <col min="5" max="5" width="11.42578125" customWidth="1"/>
    <col min="6" max="6" width="12.28515625" customWidth="1"/>
    <col min="10" max="10" width="9.85546875" bestFit="1" customWidth="1"/>
  </cols>
  <sheetData>
    <row r="1" spans="1:10" x14ac:dyDescent="0.2">
      <c r="E1" s="4"/>
      <c r="F1" s="4"/>
    </row>
    <row r="2" spans="1:10" x14ac:dyDescent="0.2">
      <c r="A2" s="390" t="s">
        <v>191</v>
      </c>
      <c r="B2" s="390"/>
      <c r="C2" s="390"/>
      <c r="D2" s="390"/>
      <c r="E2" s="390"/>
      <c r="F2" s="390"/>
    </row>
    <row r="3" spans="1:10" x14ac:dyDescent="0.2">
      <c r="A3" s="390" t="s">
        <v>170</v>
      </c>
      <c r="B3" s="390"/>
      <c r="C3" s="390"/>
      <c r="D3" s="390"/>
      <c r="E3" s="390"/>
      <c r="F3" s="390"/>
    </row>
    <row r="4" spans="1:10" ht="13.5" thickBot="1" x14ac:dyDescent="0.25">
      <c r="A4" s="60"/>
      <c r="B4" s="60"/>
      <c r="C4" s="60"/>
      <c r="D4" s="60"/>
      <c r="E4" s="60"/>
      <c r="F4" s="61" t="s">
        <v>49</v>
      </c>
    </row>
    <row r="5" spans="1:10" x14ac:dyDescent="0.2">
      <c r="A5" s="391" t="s">
        <v>34</v>
      </c>
      <c r="B5" s="392"/>
      <c r="C5" s="392"/>
      <c r="D5" s="392"/>
      <c r="E5" s="392"/>
      <c r="F5" s="393"/>
    </row>
    <row r="6" spans="1:10" x14ac:dyDescent="0.2">
      <c r="A6" s="394" t="s">
        <v>0</v>
      </c>
      <c r="B6" s="396" t="s">
        <v>18</v>
      </c>
      <c r="C6" s="398">
        <v>2023</v>
      </c>
      <c r="D6" s="399"/>
      <c r="E6" s="399"/>
      <c r="F6" s="400"/>
    </row>
    <row r="7" spans="1:10" ht="13.5" thickBot="1" x14ac:dyDescent="0.25">
      <c r="A7" s="395"/>
      <c r="B7" s="397"/>
      <c r="C7" s="62" t="s">
        <v>59</v>
      </c>
      <c r="D7" s="169" t="s">
        <v>117</v>
      </c>
      <c r="E7" s="62" t="s">
        <v>58</v>
      </c>
      <c r="F7" s="63" t="s">
        <v>185</v>
      </c>
    </row>
    <row r="8" spans="1:10" ht="21" x14ac:dyDescent="0.2">
      <c r="A8" s="75" t="s">
        <v>74</v>
      </c>
      <c r="B8" s="76" t="s">
        <v>93</v>
      </c>
      <c r="C8" s="77">
        <v>0</v>
      </c>
      <c r="D8" s="77">
        <f>SUM('Bevételek COFOG'!D18)</f>
        <v>0</v>
      </c>
      <c r="E8" s="67"/>
      <c r="F8" s="79">
        <v>0</v>
      </c>
    </row>
    <row r="9" spans="1:10" x14ac:dyDescent="0.2">
      <c r="A9" s="80" t="s">
        <v>94</v>
      </c>
      <c r="B9" s="81" t="s">
        <v>95</v>
      </c>
      <c r="C9" s="82">
        <v>0</v>
      </c>
      <c r="D9" s="82">
        <f>SUM('Bevételek COFOG'!D23)</f>
        <v>1453000</v>
      </c>
      <c r="E9" s="67">
        <v>0</v>
      </c>
      <c r="F9" s="83">
        <f>'Bevételek COFOG'!F23</f>
        <v>1453000</v>
      </c>
    </row>
    <row r="10" spans="1:10" x14ac:dyDescent="0.2">
      <c r="A10" s="80" t="s">
        <v>127</v>
      </c>
      <c r="B10" s="81" t="s">
        <v>128</v>
      </c>
      <c r="C10" s="82"/>
      <c r="D10" s="82">
        <f>SUM('Bevételek COFOG'!D24)</f>
        <v>0</v>
      </c>
      <c r="E10" s="67"/>
      <c r="F10" s="83"/>
      <c r="I10" s="368"/>
      <c r="J10" s="368"/>
    </row>
    <row r="11" spans="1:10" x14ac:dyDescent="0.2">
      <c r="A11" s="64" t="s">
        <v>62</v>
      </c>
      <c r="B11" s="65" t="s">
        <v>63</v>
      </c>
      <c r="C11" s="78">
        <v>0</v>
      </c>
      <c r="D11" s="78">
        <f>SUM('Bevételek COFOG'!D25)</f>
        <v>5000</v>
      </c>
      <c r="E11" s="67">
        <v>0</v>
      </c>
      <c r="F11" s="84">
        <f>'Bevételek COFOG'!F25</f>
        <v>5000</v>
      </c>
      <c r="I11" s="368"/>
      <c r="J11" s="368"/>
    </row>
    <row r="12" spans="1:10" ht="21" x14ac:dyDescent="0.2">
      <c r="A12" s="64" t="s">
        <v>2</v>
      </c>
      <c r="B12" s="65" t="s">
        <v>19</v>
      </c>
      <c r="C12" s="78">
        <f>SUM('Bevételek COFOG'!C9)</f>
        <v>1368376</v>
      </c>
      <c r="D12" s="78">
        <f>SUM('Bevételek COFOG'!D9)</f>
        <v>0</v>
      </c>
      <c r="E12" s="67">
        <f t="shared" ref="E12:E14" si="0">F12/C12*100</f>
        <v>100</v>
      </c>
      <c r="F12" s="68">
        <f>'Bevételek COFOG'!F9</f>
        <v>1368376</v>
      </c>
      <c r="I12" s="368"/>
      <c r="J12" s="369"/>
    </row>
    <row r="13" spans="1:10" x14ac:dyDescent="0.2">
      <c r="A13" s="386" t="s">
        <v>3</v>
      </c>
      <c r="B13" s="69" t="s">
        <v>20</v>
      </c>
      <c r="C13" s="202">
        <f>SUM('Bevételek COFOG'!C10)</f>
        <v>114208724</v>
      </c>
      <c r="D13" s="202">
        <f>SUM('Bevételek COFOG'!D10)</f>
        <v>5132700</v>
      </c>
      <c r="E13" s="67">
        <f t="shared" si="0"/>
        <v>104.49414004485331</v>
      </c>
      <c r="F13" s="70">
        <f>F14+F15+F16</f>
        <v>119341424</v>
      </c>
      <c r="I13" s="368"/>
      <c r="J13" s="369"/>
    </row>
    <row r="14" spans="1:10" x14ac:dyDescent="0.2">
      <c r="A14" s="387"/>
      <c r="B14" s="71" t="s">
        <v>57</v>
      </c>
      <c r="C14" s="202">
        <f>SUM('Bevételek COFOG'!C11)</f>
        <v>99197960</v>
      </c>
      <c r="D14" s="202">
        <f>SUM('Bevételek COFOG'!D11)</f>
        <v>-1822630</v>
      </c>
      <c r="E14" s="67">
        <f t="shared" si="0"/>
        <v>98.16263358641649</v>
      </c>
      <c r="F14" s="72">
        <f>'Bevételek COFOG'!F11</f>
        <v>97375330</v>
      </c>
    </row>
    <row r="15" spans="1:10" x14ac:dyDescent="0.2">
      <c r="A15" s="387"/>
      <c r="B15" s="71" t="s">
        <v>92</v>
      </c>
      <c r="C15" s="202">
        <f>SUM('Bevételek COFOG'!C12)</f>
        <v>15010764</v>
      </c>
      <c r="D15" s="202">
        <f>SUM('Bevételek COFOG'!D12)</f>
        <v>-4910856</v>
      </c>
      <c r="E15" s="356">
        <v>0</v>
      </c>
      <c r="F15" s="72">
        <f>'Bevételek COFOG'!F12</f>
        <v>10099908</v>
      </c>
    </row>
    <row r="16" spans="1:10" ht="13.5" thickBot="1" x14ac:dyDescent="0.25">
      <c r="A16" s="342"/>
      <c r="B16" s="352" t="s">
        <v>190</v>
      </c>
      <c r="C16" s="363">
        <f>SUM('Bevételek COFOG'!C13)</f>
        <v>0</v>
      </c>
      <c r="D16" s="363">
        <f>SUM('Bevételek COFOG'!D13)</f>
        <v>11866186</v>
      </c>
      <c r="E16" s="364">
        <v>0</v>
      </c>
      <c r="F16" s="354">
        <f>SUM('Bevételek COFOG'!F13)</f>
        <v>11866186</v>
      </c>
    </row>
    <row r="17" spans="1:6" ht="26.25" customHeight="1" thickBot="1" x14ac:dyDescent="0.25">
      <c r="A17" s="388" t="s">
        <v>99</v>
      </c>
      <c r="B17" s="389"/>
      <c r="C17" s="322">
        <f>C8+C9+C11+C12+C13</f>
        <v>115577100</v>
      </c>
      <c r="D17" s="324">
        <f>D8+D9+D11+D12+D13</f>
        <v>6590700</v>
      </c>
      <c r="E17" s="74">
        <f>F17/C17*100</f>
        <v>105.70242721092673</v>
      </c>
      <c r="F17" s="365">
        <f>F8+F9+F11+F12+F13</f>
        <v>122167800</v>
      </c>
    </row>
    <row r="18" spans="1:6" ht="24.95" customHeight="1" x14ac:dyDescent="0.2">
      <c r="A18" s="85"/>
      <c r="B18" s="85"/>
      <c r="C18" s="85"/>
      <c r="D18" s="86"/>
      <c r="E18" s="87"/>
      <c r="F18" s="86"/>
    </row>
  </sheetData>
  <sheetProtection algorithmName="SHA-512" hashValue="tTRrvXia6siQwEU9aFHekG3sWnm3cQTH9zDKv27sHVn37gOFUpwK7isZj4hanWUOzawKGbrcwj3nv60NYwK7LA==" saltValue="RinvFAxjD+6RIznPB2hAMg==" spinCount="100000" sheet="1" objects="1" scenarios="1"/>
  <mergeCells count="8">
    <mergeCell ref="A13:A15"/>
    <mergeCell ref="A17:B17"/>
    <mergeCell ref="A2:F2"/>
    <mergeCell ref="A3:F3"/>
    <mergeCell ref="A5:F5"/>
    <mergeCell ref="A6:A7"/>
    <mergeCell ref="B6:B7"/>
    <mergeCell ref="C6:F6"/>
  </mergeCells>
  <pageMargins left="0.98425196850393704" right="0.59055118110236227" top="0.59055118110236227" bottom="0.59055118110236227" header="0.51181102362204722" footer="0.51181102362204722"/>
  <pageSetup paperSize="9" scale="80" orientation="portrait" r:id="rId1"/>
  <headerFooter alignWithMargins="0">
    <oddHeader>&amp;RIV/2.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20" zoomScaleNormal="120" workbookViewId="0">
      <selection activeCell="I18" sqref="I18"/>
    </sheetView>
  </sheetViews>
  <sheetFormatPr defaultRowHeight="12.75" x14ac:dyDescent="0.2"/>
  <cols>
    <col min="1" max="1" width="12.28515625" customWidth="1"/>
    <col min="2" max="2" width="37.28515625" customWidth="1"/>
    <col min="3" max="3" width="13" customWidth="1"/>
    <col min="4" max="4" width="11.7109375" customWidth="1"/>
    <col min="5" max="5" width="11.42578125" customWidth="1"/>
    <col min="6" max="6" width="12.28515625" customWidth="1"/>
    <col min="9" max="9" width="11" bestFit="1" customWidth="1"/>
    <col min="10" max="10" width="12.7109375" customWidth="1"/>
    <col min="12" max="12" width="12.7109375" bestFit="1" customWidth="1"/>
    <col min="13" max="13" width="10.5703125" bestFit="1" customWidth="1"/>
  </cols>
  <sheetData>
    <row r="1" spans="1:13" x14ac:dyDescent="0.2">
      <c r="E1" s="4"/>
      <c r="F1" s="4"/>
    </row>
    <row r="2" spans="1:13" x14ac:dyDescent="0.2">
      <c r="A2" s="390" t="s">
        <v>192</v>
      </c>
      <c r="B2" s="390"/>
      <c r="C2" s="390"/>
      <c r="D2" s="390"/>
      <c r="E2" s="390"/>
      <c r="F2" s="390"/>
    </row>
    <row r="3" spans="1:13" x14ac:dyDescent="0.2">
      <c r="A3" s="390" t="s">
        <v>170</v>
      </c>
      <c r="B3" s="390"/>
      <c r="C3" s="390"/>
      <c r="D3" s="390"/>
      <c r="E3" s="390"/>
      <c r="F3" s="390"/>
    </row>
    <row r="4" spans="1:13" x14ac:dyDescent="0.2">
      <c r="A4" s="60"/>
      <c r="B4" s="60"/>
      <c r="C4" s="60"/>
      <c r="D4" s="60"/>
      <c r="E4" s="60"/>
      <c r="F4" s="61" t="s">
        <v>49</v>
      </c>
    </row>
    <row r="5" spans="1:13" ht="13.5" thickBot="1" x14ac:dyDescent="0.25">
      <c r="A5" s="404" t="s">
        <v>91</v>
      </c>
      <c r="B5" s="404"/>
      <c r="C5" s="404"/>
      <c r="D5" s="404"/>
      <c r="E5" s="404"/>
      <c r="F5" s="404"/>
    </row>
    <row r="6" spans="1:13" x14ac:dyDescent="0.2">
      <c r="A6" s="401" t="s">
        <v>90</v>
      </c>
      <c r="B6" s="402"/>
      <c r="C6" s="402"/>
      <c r="D6" s="402"/>
      <c r="E6" s="402"/>
      <c r="F6" s="403"/>
    </row>
    <row r="7" spans="1:13" x14ac:dyDescent="0.2">
      <c r="A7" s="394" t="s">
        <v>0</v>
      </c>
      <c r="B7" s="396" t="s">
        <v>18</v>
      </c>
      <c r="C7" s="398">
        <v>2023</v>
      </c>
      <c r="D7" s="399"/>
      <c r="E7" s="399"/>
      <c r="F7" s="400"/>
    </row>
    <row r="8" spans="1:13" ht="22.5" customHeight="1" thickBot="1" x14ac:dyDescent="0.25">
      <c r="A8" s="395"/>
      <c r="B8" s="397"/>
      <c r="C8" s="62" t="s">
        <v>59</v>
      </c>
      <c r="D8" s="62" t="s">
        <v>117</v>
      </c>
      <c r="E8" s="62" t="s">
        <v>58</v>
      </c>
      <c r="F8" s="63" t="s">
        <v>185</v>
      </c>
    </row>
    <row r="9" spans="1:13" ht="21" x14ac:dyDescent="0.2">
      <c r="A9" s="64" t="s">
        <v>2</v>
      </c>
      <c r="B9" s="65" t="s">
        <v>19</v>
      </c>
      <c r="C9" s="78">
        <v>1368376</v>
      </c>
      <c r="D9" s="66">
        <f t="shared" ref="D9:D14" si="0">F9-C9</f>
        <v>0</v>
      </c>
      <c r="E9" s="67">
        <f>F9/C9*100</f>
        <v>100</v>
      </c>
      <c r="F9" s="68">
        <v>1368376</v>
      </c>
      <c r="I9" s="223"/>
      <c r="J9" s="19"/>
    </row>
    <row r="10" spans="1:13" x14ac:dyDescent="0.2">
      <c r="A10" s="386" t="s">
        <v>3</v>
      </c>
      <c r="B10" s="69" t="s">
        <v>20</v>
      </c>
      <c r="C10" s="167">
        <f>SUM(C11:C12)</f>
        <v>114208724</v>
      </c>
      <c r="D10" s="66">
        <f t="shared" si="0"/>
        <v>5132700</v>
      </c>
      <c r="E10" s="67">
        <f t="shared" ref="E10:E12" si="1">F10/C10*100</f>
        <v>104.49414004485331</v>
      </c>
      <c r="F10" s="70">
        <f>SUM(F11:F13)</f>
        <v>119341424</v>
      </c>
      <c r="I10" s="223"/>
      <c r="J10" s="19"/>
    </row>
    <row r="11" spans="1:13" x14ac:dyDescent="0.2">
      <c r="A11" s="387"/>
      <c r="B11" s="71" t="s">
        <v>57</v>
      </c>
      <c r="C11" s="168">
        <v>99197960</v>
      </c>
      <c r="D11" s="66">
        <f t="shared" si="0"/>
        <v>-1822630</v>
      </c>
      <c r="E11" s="67">
        <f t="shared" si="1"/>
        <v>98.16263358641649</v>
      </c>
      <c r="F11" s="72">
        <f>SUM(J14)</f>
        <v>97375330</v>
      </c>
      <c r="I11" s="223" t="s">
        <v>133</v>
      </c>
      <c r="J11" s="19">
        <v>22116100</v>
      </c>
      <c r="L11" t="s">
        <v>187</v>
      </c>
      <c r="M11" s="19">
        <v>3292800</v>
      </c>
    </row>
    <row r="12" spans="1:13" x14ac:dyDescent="0.2">
      <c r="A12" s="387"/>
      <c r="B12" s="71" t="s">
        <v>92</v>
      </c>
      <c r="C12" s="168">
        <v>15010764</v>
      </c>
      <c r="D12" s="355">
        <f t="shared" si="0"/>
        <v>-4910856</v>
      </c>
      <c r="E12" s="356">
        <f t="shared" si="1"/>
        <v>67.284436688232532</v>
      </c>
      <c r="F12" s="72">
        <v>10099908</v>
      </c>
      <c r="I12" s="223" t="s">
        <v>134</v>
      </c>
      <c r="J12" s="224">
        <v>75259230</v>
      </c>
      <c r="L12" t="s">
        <v>188</v>
      </c>
      <c r="M12" s="224">
        <v>8573386</v>
      </c>
    </row>
    <row r="13" spans="1:13" ht="13.5" thickBot="1" x14ac:dyDescent="0.25">
      <c r="A13" s="342"/>
      <c r="B13" s="352" t="s">
        <v>186</v>
      </c>
      <c r="C13" s="353">
        <v>0</v>
      </c>
      <c r="D13" s="355">
        <f t="shared" si="0"/>
        <v>11866186</v>
      </c>
      <c r="E13" s="356">
        <v>0</v>
      </c>
      <c r="F13" s="354">
        <v>11866186</v>
      </c>
      <c r="I13" s="223"/>
      <c r="J13" s="19"/>
    </row>
    <row r="14" spans="1:13" ht="13.5" thickBot="1" x14ac:dyDescent="0.25">
      <c r="A14" s="388" t="s">
        <v>64</v>
      </c>
      <c r="B14" s="389"/>
      <c r="C14" s="322">
        <f>C9+C10</f>
        <v>115577100</v>
      </c>
      <c r="D14" s="324">
        <f t="shared" si="0"/>
        <v>5132700</v>
      </c>
      <c r="E14" s="323">
        <f>F14/C14*100</f>
        <v>104.44093163784176</v>
      </c>
      <c r="F14" s="73">
        <f>SUM(F9:F10)</f>
        <v>120709800</v>
      </c>
      <c r="H14" s="325"/>
      <c r="J14" s="19">
        <f>SUM(J9:J12)</f>
        <v>97375330</v>
      </c>
      <c r="M14" s="19">
        <f>SUM(M11:M13)</f>
        <v>11866186</v>
      </c>
    </row>
    <row r="15" spans="1:13" x14ac:dyDescent="0.2">
      <c r="A15" s="401" t="s">
        <v>125</v>
      </c>
      <c r="B15" s="402"/>
      <c r="C15" s="402"/>
      <c r="D15" s="402"/>
      <c r="E15" s="402"/>
      <c r="F15" s="403"/>
    </row>
    <row r="16" spans="1:13" x14ac:dyDescent="0.2">
      <c r="A16" s="394" t="s">
        <v>0</v>
      </c>
      <c r="B16" s="396" t="s">
        <v>18</v>
      </c>
      <c r="C16" s="398">
        <v>2023</v>
      </c>
      <c r="D16" s="399"/>
      <c r="E16" s="399"/>
      <c r="F16" s="400"/>
    </row>
    <row r="17" spans="1:6" ht="21" customHeight="1" thickBot="1" x14ac:dyDescent="0.25">
      <c r="A17" s="395"/>
      <c r="B17" s="397"/>
      <c r="C17" s="62" t="s">
        <v>59</v>
      </c>
      <c r="D17" s="62" t="s">
        <v>117</v>
      </c>
      <c r="E17" s="62" t="s">
        <v>58</v>
      </c>
      <c r="F17" s="63" t="s">
        <v>185</v>
      </c>
    </row>
    <row r="18" spans="1:6" ht="21.75" thickBot="1" x14ac:dyDescent="0.25">
      <c r="A18" s="64" t="s">
        <v>74</v>
      </c>
      <c r="B18" s="65" t="s">
        <v>126</v>
      </c>
      <c r="C18" s="78">
        <v>0</v>
      </c>
      <c r="D18" s="66">
        <v>0</v>
      </c>
      <c r="E18" s="67">
        <v>0</v>
      </c>
      <c r="F18" s="68">
        <v>0</v>
      </c>
    </row>
    <row r="19" spans="1:6" ht="13.5" thickBot="1" x14ac:dyDescent="0.25">
      <c r="A19" s="388" t="s">
        <v>64</v>
      </c>
      <c r="B19" s="389"/>
      <c r="C19" s="322">
        <f>SUM(C18)</f>
        <v>0</v>
      </c>
      <c r="D19" s="324">
        <f t="shared" ref="D19" si="2">SUM(D18)</f>
        <v>0</v>
      </c>
      <c r="E19" s="323">
        <v>0</v>
      </c>
      <c r="F19" s="73">
        <f>SUM(F18)</f>
        <v>0</v>
      </c>
    </row>
    <row r="20" spans="1:6" x14ac:dyDescent="0.2">
      <c r="A20" s="405" t="s">
        <v>107</v>
      </c>
      <c r="B20" s="406"/>
      <c r="C20" s="406"/>
      <c r="D20" s="406"/>
      <c r="E20" s="406"/>
      <c r="F20" s="407"/>
    </row>
    <row r="21" spans="1:6" x14ac:dyDescent="0.2">
      <c r="A21" s="394" t="s">
        <v>0</v>
      </c>
      <c r="B21" s="396" t="s">
        <v>18</v>
      </c>
      <c r="C21" s="398">
        <v>2023</v>
      </c>
      <c r="D21" s="399"/>
      <c r="E21" s="399"/>
      <c r="F21" s="400"/>
    </row>
    <row r="22" spans="1:6" ht="24" customHeight="1" thickBot="1" x14ac:dyDescent="0.25">
      <c r="A22" s="395"/>
      <c r="B22" s="397"/>
      <c r="C22" s="62" t="s">
        <v>59</v>
      </c>
      <c r="D22" s="62" t="s">
        <v>117</v>
      </c>
      <c r="E22" s="62" t="s">
        <v>58</v>
      </c>
      <c r="F22" s="63" t="s">
        <v>185</v>
      </c>
    </row>
    <row r="23" spans="1:6" x14ac:dyDescent="0.2">
      <c r="A23" s="80" t="s">
        <v>94</v>
      </c>
      <c r="B23" s="81" t="s">
        <v>95</v>
      </c>
      <c r="C23" s="296">
        <v>0</v>
      </c>
      <c r="D23" s="298">
        <f>F23-C23</f>
        <v>1453000</v>
      </c>
      <c r="E23" s="67">
        <v>0</v>
      </c>
      <c r="F23" s="83">
        <v>1453000</v>
      </c>
    </row>
    <row r="24" spans="1:6" x14ac:dyDescent="0.2">
      <c r="A24" s="80" t="s">
        <v>127</v>
      </c>
      <c r="B24" s="81" t="s">
        <v>128</v>
      </c>
      <c r="C24" s="296">
        <v>0</v>
      </c>
      <c r="D24" s="78">
        <f t="shared" ref="D24:D25" si="3">F24-C24</f>
        <v>0</v>
      </c>
      <c r="E24" s="67">
        <v>0</v>
      </c>
      <c r="F24" s="83">
        <v>0</v>
      </c>
    </row>
    <row r="25" spans="1:6" ht="13.5" thickBot="1" x14ac:dyDescent="0.25">
      <c r="A25" s="64" t="s">
        <v>62</v>
      </c>
      <c r="B25" s="65" t="s">
        <v>63</v>
      </c>
      <c r="C25" s="297">
        <v>0</v>
      </c>
      <c r="D25" s="299">
        <f t="shared" si="3"/>
        <v>5000</v>
      </c>
      <c r="E25" s="67">
        <v>0</v>
      </c>
      <c r="F25" s="84">
        <v>5000</v>
      </c>
    </row>
    <row r="26" spans="1:6" ht="13.5" thickBot="1" x14ac:dyDescent="0.25">
      <c r="A26" s="388" t="s">
        <v>64</v>
      </c>
      <c r="B26" s="389"/>
      <c r="C26" s="73">
        <f>SUM(C23:C25)</f>
        <v>0</v>
      </c>
      <c r="D26" s="73">
        <f>SUM(D23:D25)</f>
        <v>1458000</v>
      </c>
      <c r="E26" s="74">
        <v>0</v>
      </c>
      <c r="F26" s="73">
        <f>SUM(F23:F25)</f>
        <v>1458000</v>
      </c>
    </row>
    <row r="27" spans="1:6" ht="24.95" customHeight="1" thickBot="1" x14ac:dyDescent="0.25">
      <c r="A27" s="85"/>
      <c r="B27" s="85"/>
      <c r="C27" s="85"/>
      <c r="D27" s="86"/>
      <c r="E27" s="87"/>
      <c r="F27" s="86"/>
    </row>
    <row r="28" spans="1:6" ht="13.5" thickBot="1" x14ac:dyDescent="0.25">
      <c r="A28" s="388" t="s">
        <v>65</v>
      </c>
      <c r="B28" s="389"/>
      <c r="C28" s="73">
        <f>SUM(C14,C19,C26)</f>
        <v>115577100</v>
      </c>
      <c r="D28" s="73">
        <f>SUM(D14,D19,D26)</f>
        <v>6590700</v>
      </c>
      <c r="E28" s="88">
        <f>F28/C28*100</f>
        <v>105.70242721092673</v>
      </c>
      <c r="F28" s="73">
        <f>F14+F26+F19</f>
        <v>122167800</v>
      </c>
    </row>
    <row r="31" spans="1:6" x14ac:dyDescent="0.2">
      <c r="F31" s="19">
        <f>F28-'Kiadások COFOG szerint'!F96</f>
        <v>0</v>
      </c>
    </row>
  </sheetData>
  <mergeCells count="20">
    <mergeCell ref="A28:B28"/>
    <mergeCell ref="A20:F20"/>
    <mergeCell ref="A21:A22"/>
    <mergeCell ref="B21:B22"/>
    <mergeCell ref="A26:B26"/>
    <mergeCell ref="C21:F21"/>
    <mergeCell ref="A2:F2"/>
    <mergeCell ref="A14:B14"/>
    <mergeCell ref="A3:F3"/>
    <mergeCell ref="A6:F6"/>
    <mergeCell ref="A7:A8"/>
    <mergeCell ref="B7:B8"/>
    <mergeCell ref="A10:A12"/>
    <mergeCell ref="A5:F5"/>
    <mergeCell ref="C7:F7"/>
    <mergeCell ref="A19:B19"/>
    <mergeCell ref="A15:F15"/>
    <mergeCell ref="A16:A17"/>
    <mergeCell ref="B16:B17"/>
    <mergeCell ref="C16:F16"/>
  </mergeCells>
  <phoneticPr fontId="0" type="noConversion"/>
  <pageMargins left="1" right="1" top="1" bottom="1" header="0.5" footer="0.5"/>
  <pageSetup paperSize="9" scale="68" orientation="portrait" r:id="rId1"/>
  <headerFooter alignWithMargins="0">
    <oddHeader>&amp;LPiliscsévi "Aranykapu" Egységes Óvoda-Bölcsőde&amp;RIV/2.a) számú melléklet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topLeftCell="A19" zoomScaleNormal="100" workbookViewId="0">
      <selection activeCell="F42" sqref="F42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3.140625" customWidth="1"/>
    <col min="5" max="5" width="7.28515625" customWidth="1"/>
    <col min="6" max="6" width="17" customWidth="1"/>
    <col min="7" max="8" width="10.140625" bestFit="1" customWidth="1"/>
  </cols>
  <sheetData>
    <row r="1" spans="1:7" x14ac:dyDescent="0.2">
      <c r="E1" s="4"/>
      <c r="F1" s="4"/>
    </row>
    <row r="2" spans="1:7" x14ac:dyDescent="0.2">
      <c r="A2" s="390" t="s">
        <v>192</v>
      </c>
      <c r="B2" s="390"/>
      <c r="C2" s="390"/>
      <c r="D2" s="390"/>
      <c r="E2" s="390"/>
      <c r="F2" s="390"/>
    </row>
    <row r="3" spans="1:7" x14ac:dyDescent="0.2">
      <c r="A3" s="390" t="s">
        <v>170</v>
      </c>
      <c r="B3" s="390"/>
      <c r="C3" s="390"/>
      <c r="D3" s="390"/>
      <c r="E3" s="390"/>
      <c r="F3" s="390"/>
    </row>
    <row r="4" spans="1:7" ht="13.5" thickBot="1" x14ac:dyDescent="0.25">
      <c r="F4" s="6" t="s">
        <v>49</v>
      </c>
    </row>
    <row r="5" spans="1:7" ht="21.75" customHeight="1" thickBot="1" x14ac:dyDescent="0.25">
      <c r="A5" s="412" t="s">
        <v>38</v>
      </c>
      <c r="B5" s="413"/>
      <c r="C5" s="413"/>
      <c r="D5" s="413"/>
      <c r="E5" s="413"/>
      <c r="F5" s="414"/>
    </row>
    <row r="6" spans="1:7" ht="15.75" customHeight="1" x14ac:dyDescent="0.2">
      <c r="A6" s="415" t="s">
        <v>0</v>
      </c>
      <c r="B6" s="417" t="s">
        <v>18</v>
      </c>
      <c r="C6" s="419">
        <v>2023</v>
      </c>
      <c r="D6" s="420"/>
      <c r="E6" s="420"/>
      <c r="F6" s="421"/>
    </row>
    <row r="7" spans="1:7" ht="30.75" customHeight="1" thickBot="1" x14ac:dyDescent="0.25">
      <c r="A7" s="416"/>
      <c r="B7" s="418"/>
      <c r="C7" s="89" t="s">
        <v>59</v>
      </c>
      <c r="D7" s="89" t="s">
        <v>117</v>
      </c>
      <c r="E7" s="89" t="s">
        <v>58</v>
      </c>
      <c r="F7" s="90" t="s">
        <v>185</v>
      </c>
    </row>
    <row r="8" spans="1:7" ht="22.5" customHeight="1" x14ac:dyDescent="0.2">
      <c r="A8" s="312" t="s">
        <v>4</v>
      </c>
      <c r="B8" s="313" t="s">
        <v>21</v>
      </c>
      <c r="C8" s="314">
        <f>SUM('Kiadások COFOG szerint'!C9,'Kiadások COFOG szerint'!C26,'Kiadások COFOG szerint'!C69,'Kiadások COFOG szerint'!C83)</f>
        <v>76400000</v>
      </c>
      <c r="D8" s="314">
        <f t="shared" ref="D8:D17" si="0">F8-C8</f>
        <v>0</v>
      </c>
      <c r="E8" s="175">
        <f>F8/C8*100</f>
        <v>100</v>
      </c>
      <c r="F8" s="315">
        <f>SUM('Kiadások COFOG szerint'!F9,'Kiadások COFOG szerint'!F26,'Kiadások COFOG szerint'!F69,'Kiadások COFOG szerint'!F83)</f>
        <v>76400000</v>
      </c>
      <c r="G8" s="11"/>
    </row>
    <row r="9" spans="1:7" ht="22.5" customHeight="1" x14ac:dyDescent="0.2">
      <c r="A9" s="91" t="s">
        <v>115</v>
      </c>
      <c r="B9" s="92" t="s">
        <v>116</v>
      </c>
      <c r="C9" s="93">
        <f>SUM('Kiadások COFOG szerint'!C10,'Kiadások COFOG szerint'!C27,'Kiadások COFOG szerint'!C70,'Kiadások COFOG szerint'!C84)</f>
        <v>0</v>
      </c>
      <c r="D9" s="93">
        <f t="shared" si="0"/>
        <v>0</v>
      </c>
      <c r="E9" s="94">
        <v>0</v>
      </c>
      <c r="F9" s="95">
        <f>SUM('Kiadások COFOG szerint'!F10,'Kiadások COFOG szerint'!F27,'Kiadások COFOG szerint'!F70,'Kiadások COFOG szerint'!F84)</f>
        <v>0</v>
      </c>
      <c r="G9" s="11"/>
    </row>
    <row r="10" spans="1:7" ht="22.5" customHeight="1" x14ac:dyDescent="0.2">
      <c r="A10" s="91" t="s">
        <v>172</v>
      </c>
      <c r="B10" s="48" t="s">
        <v>173</v>
      </c>
      <c r="C10" s="93">
        <f>SUM('Kiadások COFOG szerint'!C11+'Kiadások COFOG szerint'!C85)</f>
        <v>400000</v>
      </c>
      <c r="D10" s="93">
        <f>SUM('Kiadások COFOG szerint'!D11+'Kiadások COFOG szerint'!D85)</f>
        <v>0</v>
      </c>
      <c r="E10" s="311">
        <f>SUM('Kiadások COFOG szerint'!E11+'Kiadások COFOG szerint'!E85)</f>
        <v>100</v>
      </c>
      <c r="F10" s="316">
        <f>SUM('Kiadások COFOG szerint'!F11+'Kiadások COFOG szerint'!F85)</f>
        <v>400000</v>
      </c>
      <c r="G10" s="11"/>
    </row>
    <row r="11" spans="1:7" ht="22.5" customHeight="1" x14ac:dyDescent="0.2">
      <c r="A11" s="91" t="s">
        <v>106</v>
      </c>
      <c r="B11" s="92" t="s">
        <v>105</v>
      </c>
      <c r="C11" s="93">
        <f>SUM('Kiadások COFOG szerint'!C28)</f>
        <v>0</v>
      </c>
      <c r="D11" s="93">
        <f t="shared" si="0"/>
        <v>0</v>
      </c>
      <c r="E11" s="94">
        <v>0</v>
      </c>
      <c r="F11" s="95">
        <f>SUM('Kiadások COFOG szerint'!F28)</f>
        <v>0</v>
      </c>
      <c r="G11" s="11"/>
    </row>
    <row r="12" spans="1:7" ht="22.5" customHeight="1" x14ac:dyDescent="0.2">
      <c r="A12" s="96" t="s">
        <v>67</v>
      </c>
      <c r="B12" s="97" t="s">
        <v>68</v>
      </c>
      <c r="C12" s="93">
        <f>SUM('Kiadások COFOG szerint'!C12,'Kiadások COFOG szerint'!C29,'Kiadások COFOG szerint'!C71,'Kiadások COFOG szerint'!C86)</f>
        <v>1160000</v>
      </c>
      <c r="D12" s="93">
        <f t="shared" si="0"/>
        <v>0</v>
      </c>
      <c r="E12" s="94">
        <v>0</v>
      </c>
      <c r="F12" s="98">
        <f>SUM('Kiadások COFOG szerint'!F12,'Kiadások COFOG szerint'!F29,'Kiadások COFOG szerint'!F71,'Kiadások COFOG szerint'!F86)</f>
        <v>1160000</v>
      </c>
    </row>
    <row r="13" spans="1:7" ht="22.5" customHeight="1" x14ac:dyDescent="0.2">
      <c r="A13" s="96" t="s">
        <v>5</v>
      </c>
      <c r="B13" s="97" t="s">
        <v>22</v>
      </c>
      <c r="C13" s="93">
        <f>SUM('Kiadások COFOG szerint'!C13,'Kiadások COFOG szerint'!C30)</f>
        <v>250000</v>
      </c>
      <c r="D13" s="93">
        <f t="shared" si="0"/>
        <v>0</v>
      </c>
      <c r="E13" s="94">
        <f>F13/C13*100</f>
        <v>100</v>
      </c>
      <c r="F13" s="98">
        <f>SUM('Kiadások COFOG szerint'!F13,'Kiadások COFOG szerint'!F30)</f>
        <v>250000</v>
      </c>
      <c r="G13" s="11"/>
    </row>
    <row r="14" spans="1:7" ht="22.5" customHeight="1" x14ac:dyDescent="0.2">
      <c r="A14" s="96" t="s">
        <v>6</v>
      </c>
      <c r="B14" s="97" t="s">
        <v>23</v>
      </c>
      <c r="C14" s="93">
        <f>SUM('Kiadások COFOG szerint'!C14,'Kiadások COFOG szerint'!C31,'Kiadások COFOG szerint'!C72,'Kiadások COFOG szerint'!C87)</f>
        <v>0</v>
      </c>
      <c r="D14" s="93">
        <f t="shared" si="0"/>
        <v>0</v>
      </c>
      <c r="E14" s="94">
        <v>0</v>
      </c>
      <c r="F14" s="98">
        <f>SUM('Kiadások COFOG szerint'!F14,'Kiadások COFOG szerint'!F31,'Kiadások COFOG szerint'!F72,'Kiadások COFOG szerint'!F87)</f>
        <v>0</v>
      </c>
      <c r="G14" s="11"/>
    </row>
    <row r="15" spans="1:7" ht="22.5" customHeight="1" x14ac:dyDescent="0.2">
      <c r="A15" s="96" t="s">
        <v>7</v>
      </c>
      <c r="B15" s="97" t="s">
        <v>24</v>
      </c>
      <c r="C15" s="93">
        <f>SUM('Kiadások COFOG szerint'!C15,'Kiadások COFOG szerint'!C32,'Kiadások COFOG szerint'!C73,'Kiadások COFOG szerint'!C88)</f>
        <v>3750000</v>
      </c>
      <c r="D15" s="93">
        <f t="shared" si="0"/>
        <v>0</v>
      </c>
      <c r="E15" s="94">
        <f>F15/C15*100</f>
        <v>100</v>
      </c>
      <c r="F15" s="98">
        <f>SUM('Kiadások COFOG szerint'!F15,'Kiadások COFOG szerint'!F32,'Kiadások COFOG szerint'!F73,'Kiadások COFOG szerint'!F88)</f>
        <v>3750000</v>
      </c>
    </row>
    <row r="16" spans="1:7" ht="22.5" customHeight="1" x14ac:dyDescent="0.2">
      <c r="A16" s="96" t="s">
        <v>8</v>
      </c>
      <c r="B16" s="97" t="s">
        <v>123</v>
      </c>
      <c r="C16" s="201">
        <f>SUM('Kiadások COFOG szerint'!C16,'Kiadások COFOG szerint'!C33,'Kiadások COFOG szerint'!C74,'Kiadások COFOG szerint'!C89)</f>
        <v>2600000</v>
      </c>
      <c r="D16" s="93">
        <f t="shared" si="0"/>
        <v>950000</v>
      </c>
      <c r="E16" s="94">
        <v>0</v>
      </c>
      <c r="F16" s="98">
        <f>SUM('Kiadások COFOG szerint'!F16,'Kiadások COFOG szerint'!F33,'Kiadások COFOG szerint'!F74,'Kiadások COFOG szerint'!F89)</f>
        <v>3550000</v>
      </c>
    </row>
    <row r="17" spans="1:10" ht="22.5" customHeight="1" thickBot="1" x14ac:dyDescent="0.25">
      <c r="A17" s="317" t="s">
        <v>120</v>
      </c>
      <c r="B17" s="318" t="s">
        <v>124</v>
      </c>
      <c r="C17" s="126">
        <f>SUM('Kiadások COFOG szerint'!C17,'Kiadások COFOG szerint'!C34)</f>
        <v>0</v>
      </c>
      <c r="D17" s="319">
        <f t="shared" si="0"/>
        <v>150000</v>
      </c>
      <c r="E17" s="320">
        <v>0</v>
      </c>
      <c r="F17" s="321">
        <f>SUM('Kiadások COFOG szerint'!F17,'Kiadások COFOG szerint'!F34)</f>
        <v>150000</v>
      </c>
    </row>
    <row r="18" spans="1:10" ht="24" customHeight="1" thickBot="1" x14ac:dyDescent="0.25">
      <c r="A18" s="408" t="s">
        <v>35</v>
      </c>
      <c r="B18" s="409"/>
      <c r="C18" s="170">
        <f>SUM(C8:C17)</f>
        <v>84560000</v>
      </c>
      <c r="D18" s="170">
        <f>SUM(D8:D17)</f>
        <v>1100000</v>
      </c>
      <c r="E18" s="102">
        <f>F18/C18*100</f>
        <v>101.30085146641439</v>
      </c>
      <c r="F18" s="101">
        <f>SUM(F8:F17)</f>
        <v>85660000</v>
      </c>
      <c r="H18" s="19"/>
    </row>
    <row r="19" spans="1:10" ht="20.100000000000001" customHeight="1" x14ac:dyDescent="0.2">
      <c r="A19" s="91" t="s">
        <v>9</v>
      </c>
      <c r="B19" s="92" t="s">
        <v>26</v>
      </c>
      <c r="C19" s="93">
        <f>SUM('Kiadások COFOG szerint'!C19,'Kiadások COFOG szerint'!C36,'Kiadások COFOG szerint'!C43,'Kiadások COFOG szerint'!C76,'Kiadások COFOG szerint'!C91)</f>
        <v>10800000</v>
      </c>
      <c r="D19" s="93">
        <f>F19-C19</f>
        <v>150000</v>
      </c>
      <c r="E19" s="94">
        <f>F19/C19*100</f>
        <v>101.38888888888889</v>
      </c>
      <c r="F19" s="95">
        <f>SUM('Kiadások COFOG szerint'!F19+'Kiadások COFOG szerint'!F36+'Kiadások COFOG szerint'!F76+'Kiadások COFOG szerint'!F91+'Kiadások COFOG szerint'!F44)</f>
        <v>10950000</v>
      </c>
      <c r="G19" s="11"/>
    </row>
    <row r="20" spans="1:10" ht="23.25" customHeight="1" thickBot="1" x14ac:dyDescent="0.25">
      <c r="A20" s="99" t="s">
        <v>10</v>
      </c>
      <c r="B20" s="100" t="s">
        <v>27</v>
      </c>
      <c r="C20" s="126">
        <f>SUM('Kiadások COFOG szerint'!C20+'Kiadások COFOG szerint'!C37+'Kiadások COFOG szerint'!C77+'Kiadások COFOG szerint'!C92)</f>
        <v>185000</v>
      </c>
      <c r="D20" s="346">
        <f>SUM('Kiadások COFOG szerint'!D20+'Kiadások COFOG szerint'!D37+'Kiadások COFOG szerint'!D77+'Kiadások COFOG szerint'!D92)</f>
        <v>20000</v>
      </c>
      <c r="E20" s="311">
        <f>F20/C20*100</f>
        <v>110.81081081081081</v>
      </c>
      <c r="F20" s="95">
        <f>SUM('Kiadások COFOG szerint'!F20+'Kiadások COFOG szerint'!F37+'Kiadások COFOG szerint'!F77+'Kiadások COFOG szerint'!F92)</f>
        <v>205000</v>
      </c>
      <c r="G20" s="11"/>
    </row>
    <row r="21" spans="1:10" ht="24.95" customHeight="1" thickBot="1" x14ac:dyDescent="0.25">
      <c r="A21" s="408" t="s">
        <v>36</v>
      </c>
      <c r="B21" s="409"/>
      <c r="C21" s="170">
        <f>SUM(C19:C20)</f>
        <v>10985000</v>
      </c>
      <c r="D21" s="170">
        <f t="shared" ref="D21" si="1">SUM(D19:D20)</f>
        <v>170000</v>
      </c>
      <c r="E21" s="102">
        <f t="shared" ref="E21:E31" si="2">F21/C21*100</f>
        <v>101.54756486117434</v>
      </c>
      <c r="F21" s="101">
        <f>SUM(F19:F20)</f>
        <v>11155000</v>
      </c>
    </row>
    <row r="22" spans="1:10" ht="20.100000000000001" customHeight="1" x14ac:dyDescent="0.2">
      <c r="A22" s="231" t="s">
        <v>11</v>
      </c>
      <c r="B22" s="104" t="s">
        <v>28</v>
      </c>
      <c r="C22" s="105">
        <f>SUM('Kiadások COFOG szerint'!C45)</f>
        <v>110000</v>
      </c>
      <c r="D22" s="105">
        <f t="shared" ref="D22:D32" si="3">F22-C22</f>
        <v>0</v>
      </c>
      <c r="E22" s="106">
        <f t="shared" si="2"/>
        <v>100</v>
      </c>
      <c r="F22" s="107">
        <f>'Kiadások COFOG szerint'!F45</f>
        <v>110000</v>
      </c>
      <c r="G22" s="11"/>
    </row>
    <row r="23" spans="1:10" ht="20.100000000000001" customHeight="1" x14ac:dyDescent="0.2">
      <c r="A23" s="103" t="s">
        <v>12</v>
      </c>
      <c r="B23" s="108" t="s">
        <v>29</v>
      </c>
      <c r="C23" s="109">
        <f>SUM('Kiadások COFOG szerint'!C46)</f>
        <v>1800000</v>
      </c>
      <c r="D23" s="105">
        <f t="shared" si="3"/>
        <v>0</v>
      </c>
      <c r="E23" s="106">
        <f t="shared" si="2"/>
        <v>100</v>
      </c>
      <c r="F23" s="110">
        <f>'Kiadások COFOG szerint'!F46</f>
        <v>1800000</v>
      </c>
      <c r="G23" s="11"/>
    </row>
    <row r="24" spans="1:10" ht="20.100000000000001" customHeight="1" x14ac:dyDescent="0.2">
      <c r="A24" s="103" t="s">
        <v>70</v>
      </c>
      <c r="B24" s="97" t="s">
        <v>71</v>
      </c>
      <c r="C24" s="109">
        <f>SUM('Kiadások COFOG szerint'!C47)</f>
        <v>108000</v>
      </c>
      <c r="D24" s="105">
        <f t="shared" si="3"/>
        <v>0</v>
      </c>
      <c r="E24" s="106">
        <f t="shared" si="2"/>
        <v>100</v>
      </c>
      <c r="F24" s="98">
        <f>'Kiadások COFOG szerint'!F47</f>
        <v>108000</v>
      </c>
      <c r="G24" s="11"/>
    </row>
    <row r="25" spans="1:10" ht="20.100000000000001" customHeight="1" x14ac:dyDescent="0.2">
      <c r="A25" s="103" t="s">
        <v>73</v>
      </c>
      <c r="B25" s="112" t="s">
        <v>72</v>
      </c>
      <c r="C25" s="109">
        <f>SUM('Kiadások COFOG szerint'!C48)</f>
        <v>78000</v>
      </c>
      <c r="D25" s="105">
        <f t="shared" si="3"/>
        <v>0</v>
      </c>
      <c r="E25" s="106">
        <f t="shared" si="2"/>
        <v>100</v>
      </c>
      <c r="F25" s="98">
        <f>'Kiadások COFOG szerint'!F48</f>
        <v>78000</v>
      </c>
      <c r="G25" s="11"/>
    </row>
    <row r="26" spans="1:10" ht="20.100000000000001" customHeight="1" x14ac:dyDescent="0.2">
      <c r="A26" s="103" t="s">
        <v>78</v>
      </c>
      <c r="B26" s="112" t="s">
        <v>96</v>
      </c>
      <c r="C26" s="109">
        <f>SUM('Kiadások COFOG szerint'!C49)</f>
        <v>3120000</v>
      </c>
      <c r="D26" s="105">
        <f t="shared" si="3"/>
        <v>218900</v>
      </c>
      <c r="E26" s="106">
        <f t="shared" si="2"/>
        <v>107.01602564102564</v>
      </c>
      <c r="F26" s="98">
        <f>'Kiadások COFOG szerint'!F50+'Kiadások COFOG szerint'!F51+'Kiadások COFOG szerint'!F52</f>
        <v>3338900</v>
      </c>
      <c r="G26" s="11"/>
    </row>
    <row r="27" spans="1:10" ht="20.100000000000001" customHeight="1" x14ac:dyDescent="0.2">
      <c r="A27" s="103" t="s">
        <v>76</v>
      </c>
      <c r="B27" s="112" t="s">
        <v>97</v>
      </c>
      <c r="C27" s="111">
        <f>SUM('Kiadások COFOG szerint'!C53)</f>
        <v>6800000</v>
      </c>
      <c r="D27" s="105">
        <f t="shared" si="3"/>
        <v>2648800</v>
      </c>
      <c r="E27" s="106">
        <f t="shared" si="2"/>
        <v>138.9529411764706</v>
      </c>
      <c r="F27" s="98">
        <f>'Kiadások COFOG szerint'!F53</f>
        <v>9448800</v>
      </c>
      <c r="G27" s="11"/>
    </row>
    <row r="28" spans="1:10" ht="20.100000000000001" customHeight="1" x14ac:dyDescent="0.2">
      <c r="A28" s="103" t="s">
        <v>108</v>
      </c>
      <c r="B28" s="112" t="s">
        <v>111</v>
      </c>
      <c r="C28" s="111">
        <f>SUM('Kiadások COFOG szerint'!C54)</f>
        <v>1430000</v>
      </c>
      <c r="D28" s="105">
        <f t="shared" si="3"/>
        <v>0</v>
      </c>
      <c r="E28" s="106">
        <f t="shared" si="2"/>
        <v>100</v>
      </c>
      <c r="F28" s="98">
        <f>'Kiadások COFOG szerint'!F54</f>
        <v>1430000</v>
      </c>
      <c r="G28" s="11"/>
    </row>
    <row r="29" spans="1:10" ht="20.100000000000001" customHeight="1" x14ac:dyDescent="0.2">
      <c r="A29" s="113" t="s">
        <v>14</v>
      </c>
      <c r="B29" s="112" t="s">
        <v>30</v>
      </c>
      <c r="C29" s="111">
        <f>SUM('Kiadások COFOG szerint'!C55)</f>
        <v>1160000</v>
      </c>
      <c r="D29" s="105">
        <f t="shared" si="3"/>
        <v>0</v>
      </c>
      <c r="E29" s="106">
        <f t="shared" si="2"/>
        <v>100</v>
      </c>
      <c r="F29" s="98">
        <f>'Kiadások COFOG szerint'!F55</f>
        <v>1160000</v>
      </c>
      <c r="G29" s="11"/>
      <c r="J29" s="11"/>
    </row>
    <row r="30" spans="1:10" ht="20.100000000000001" customHeight="1" x14ac:dyDescent="0.2">
      <c r="A30" s="152" t="s">
        <v>15</v>
      </c>
      <c r="B30" s="112" t="s">
        <v>31</v>
      </c>
      <c r="C30" s="111">
        <f>SUM('Kiadások COFOG szerint'!C56)</f>
        <v>100000</v>
      </c>
      <c r="D30" s="105">
        <f t="shared" si="3"/>
        <v>0</v>
      </c>
      <c r="E30" s="106">
        <f t="shared" si="2"/>
        <v>100</v>
      </c>
      <c r="F30" s="98">
        <f>'Kiadások COFOG szerint'!F56</f>
        <v>100000</v>
      </c>
      <c r="G30" s="11"/>
      <c r="J30" s="11"/>
    </row>
    <row r="31" spans="1:10" ht="25.5" customHeight="1" x14ac:dyDescent="0.2">
      <c r="A31" s="114" t="s">
        <v>16</v>
      </c>
      <c r="B31" s="97" t="s">
        <v>32</v>
      </c>
      <c r="C31" s="111">
        <f>SUM('Kiadások COFOG szerint'!C57)</f>
        <v>3500000</v>
      </c>
      <c r="D31" s="105">
        <f>F31-C31</f>
        <v>1000000</v>
      </c>
      <c r="E31" s="106">
        <f t="shared" si="2"/>
        <v>128.57142857142858</v>
      </c>
      <c r="F31" s="98">
        <f>'Kiadások COFOG szerint'!F57</f>
        <v>4500000</v>
      </c>
      <c r="G31" s="11"/>
      <c r="J31" s="11"/>
    </row>
    <row r="32" spans="1:10" ht="20.100000000000001" customHeight="1" thickBot="1" x14ac:dyDescent="0.25">
      <c r="A32" s="115" t="s">
        <v>17</v>
      </c>
      <c r="B32" s="100" t="s">
        <v>33</v>
      </c>
      <c r="C32" s="111">
        <f>SUM('Kiadások COFOG szerint'!C58)</f>
        <v>10000</v>
      </c>
      <c r="D32" s="105">
        <f t="shared" si="3"/>
        <v>0</v>
      </c>
      <c r="E32" s="106">
        <v>0</v>
      </c>
      <c r="F32" s="116">
        <f>'Kiadások COFOG szerint'!F58</f>
        <v>10000</v>
      </c>
      <c r="G32" s="11"/>
      <c r="J32" s="11"/>
    </row>
    <row r="33" spans="1:10" ht="24.95" customHeight="1" thickBot="1" x14ac:dyDescent="0.25">
      <c r="A33" s="408" t="s">
        <v>37</v>
      </c>
      <c r="B33" s="409"/>
      <c r="C33" s="170">
        <f>SUM(C22:C32)</f>
        <v>18216000</v>
      </c>
      <c r="D33" s="170">
        <f t="shared" ref="D33" si="4">SUM(D22:D32)</f>
        <v>3867700</v>
      </c>
      <c r="E33" s="102">
        <f>F33/C33*100</f>
        <v>121.23243302591129</v>
      </c>
      <c r="F33" s="348">
        <f>SUM(F22:F32)</f>
        <v>22083700</v>
      </c>
      <c r="J33" s="11"/>
    </row>
    <row r="34" spans="1:10" ht="24.95" customHeight="1" thickBot="1" x14ac:dyDescent="0.25">
      <c r="A34" s="114" t="s">
        <v>136</v>
      </c>
      <c r="B34" s="97" t="s">
        <v>137</v>
      </c>
      <c r="C34" s="111">
        <f>SUM('Kiadások COFOG szerint'!C60)</f>
        <v>0</v>
      </c>
      <c r="D34" s="111">
        <f>SUM('Kiadások COFOG szerint'!D60)</f>
        <v>0</v>
      </c>
      <c r="E34" s="106">
        <v>0</v>
      </c>
      <c r="F34" s="98">
        <f>SUM('Kiadások COFOG szerint'!F60)</f>
        <v>0</v>
      </c>
      <c r="J34" s="11"/>
    </row>
    <row r="35" spans="1:10" ht="24.95" customHeight="1" thickBot="1" x14ac:dyDescent="0.25">
      <c r="A35" s="408" t="s">
        <v>137</v>
      </c>
      <c r="B35" s="409"/>
      <c r="C35" s="351">
        <f t="shared" ref="C35:D35" si="5">SUM(C34)</f>
        <v>0</v>
      </c>
      <c r="D35" s="350">
        <f t="shared" si="5"/>
        <v>0</v>
      </c>
      <c r="E35" s="349">
        <v>0</v>
      </c>
      <c r="F35" s="347">
        <f>SUM(F34)</f>
        <v>0</v>
      </c>
      <c r="J35" s="11"/>
    </row>
    <row r="36" spans="1:10" ht="24.95" customHeight="1" x14ac:dyDescent="0.2">
      <c r="A36" s="119" t="s">
        <v>85</v>
      </c>
      <c r="B36" s="120" t="s">
        <v>86</v>
      </c>
      <c r="C36" s="121">
        <f>SUM('Kiadások COFOG szerint'!C62)</f>
        <v>1430000</v>
      </c>
      <c r="D36" s="291">
        <f>F36-C36</f>
        <v>1144095</v>
      </c>
      <c r="E36" s="175">
        <f>F36/C36*100</f>
        <v>180.00664335664337</v>
      </c>
      <c r="F36" s="122">
        <f>'Kiadások COFOG szerint'!F62</f>
        <v>2574095</v>
      </c>
      <c r="J36" s="11"/>
    </row>
    <row r="37" spans="1:10" ht="24.95" customHeight="1" thickBot="1" x14ac:dyDescent="0.25">
      <c r="A37" s="123" t="s">
        <v>87</v>
      </c>
      <c r="B37" s="124" t="s">
        <v>89</v>
      </c>
      <c r="C37" s="125">
        <f>SUM('Kiadások COFOG szerint'!C63)</f>
        <v>386100</v>
      </c>
      <c r="D37" s="290">
        <f>F37-C37</f>
        <v>308905</v>
      </c>
      <c r="E37" s="94">
        <f>F37/C37*100</f>
        <v>180.006475006475</v>
      </c>
      <c r="F37" s="127">
        <f>'Kiadások COFOG szerint'!F63</f>
        <v>695005</v>
      </c>
      <c r="J37" s="11"/>
    </row>
    <row r="38" spans="1:10" ht="24.95" customHeight="1" thickBot="1" x14ac:dyDescent="0.25">
      <c r="A38" s="408" t="s">
        <v>98</v>
      </c>
      <c r="B38" s="409"/>
      <c r="C38" s="170">
        <f>SUM(C36:C37)</f>
        <v>1816100</v>
      </c>
      <c r="D38" s="170">
        <f t="shared" ref="D38" si="6">SUM(D36:D37)</f>
        <v>1453000</v>
      </c>
      <c r="E38" s="102">
        <f>F38/C38*100</f>
        <v>180.0066075656627</v>
      </c>
      <c r="F38" s="348">
        <f>SUM(F36:F37)</f>
        <v>3269100</v>
      </c>
      <c r="J38" s="11"/>
    </row>
    <row r="39" spans="1:10" ht="21.75" customHeight="1" thickBot="1" x14ac:dyDescent="0.25">
      <c r="A39" s="410" t="s">
        <v>1</v>
      </c>
      <c r="B39" s="411"/>
      <c r="C39" s="117">
        <f>C18+C21+C33+C38</f>
        <v>115577100</v>
      </c>
      <c r="D39" s="117">
        <f>D18+D21+D33+D38+D35</f>
        <v>6590700</v>
      </c>
      <c r="E39" s="118">
        <f>F39/C39*100</f>
        <v>105.70242721092673</v>
      </c>
      <c r="F39" s="176">
        <f>SUM(F18,F21,F33,F35,F38)</f>
        <v>122167800</v>
      </c>
      <c r="G39" s="12"/>
      <c r="J39" s="11"/>
    </row>
    <row r="40" spans="1:10" x14ac:dyDescent="0.2">
      <c r="J40" s="11"/>
    </row>
    <row r="41" spans="1:10" x14ac:dyDescent="0.2">
      <c r="J41" s="11"/>
    </row>
    <row r="42" spans="1:10" x14ac:dyDescent="0.2">
      <c r="J42" s="11"/>
    </row>
    <row r="43" spans="1:10" x14ac:dyDescent="0.2">
      <c r="J43" s="11"/>
    </row>
    <row r="44" spans="1:10" x14ac:dyDescent="0.2">
      <c r="J44" s="11"/>
    </row>
    <row r="45" spans="1:10" x14ac:dyDescent="0.2">
      <c r="J45" s="11"/>
    </row>
    <row r="46" spans="1:10" x14ac:dyDescent="0.2">
      <c r="J46" s="11"/>
    </row>
    <row r="47" spans="1:10" x14ac:dyDescent="0.2">
      <c r="J47" s="11"/>
    </row>
  </sheetData>
  <sheetProtection algorithmName="SHA-512" hashValue="ig9KgOCQXhya1wYzJTb7igVHMSd/vk5uDOBqlw1fLHClUREiiW+ArfMxsYnRNojRPBCOvG4SuQyebtrNz4lb3w==" saltValue="/Db/U/fXn2SRfcNBJ8RGvw==" spinCount="100000" sheet="1" objects="1" scenarios="1"/>
  <mergeCells count="12">
    <mergeCell ref="A18:B18"/>
    <mergeCell ref="A21:B21"/>
    <mergeCell ref="A33:B33"/>
    <mergeCell ref="A39:B39"/>
    <mergeCell ref="A2:F2"/>
    <mergeCell ref="A3:F3"/>
    <mergeCell ref="A5:F5"/>
    <mergeCell ref="A6:A7"/>
    <mergeCell ref="B6:B7"/>
    <mergeCell ref="A38:B38"/>
    <mergeCell ref="A35:B35"/>
    <mergeCell ref="C6:F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76" orientation="portrait" r:id="rId1"/>
  <headerFooter alignWithMargins="0">
    <oddHeader>&amp;LPiliscsévi "Aranykapu" Óvoda-Bölcsőde&amp;RIV/3.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40" zoomScaleNormal="100" workbookViewId="0">
      <selection activeCell="F65" sqref="F65"/>
    </sheetView>
  </sheetViews>
  <sheetFormatPr defaultRowHeight="12.75" x14ac:dyDescent="0.2"/>
  <cols>
    <col min="1" max="1" width="11.5703125" customWidth="1"/>
    <col min="2" max="2" width="39.140625" customWidth="1"/>
    <col min="3" max="3" width="12.7109375" customWidth="1"/>
    <col min="4" max="4" width="11.42578125" customWidth="1"/>
    <col min="5" max="5" width="9.85546875" customWidth="1"/>
    <col min="6" max="6" width="15.85546875" customWidth="1"/>
    <col min="7" max="7" width="11.42578125" bestFit="1" customWidth="1"/>
    <col min="8" max="8" width="12.42578125" style="40" bestFit="1" customWidth="1"/>
    <col min="9" max="9" width="11.42578125" style="40" bestFit="1" customWidth="1"/>
    <col min="10" max="11" width="15.28515625" style="40" bestFit="1" customWidth="1"/>
    <col min="12" max="12" width="13.7109375" style="40" bestFit="1" customWidth="1"/>
    <col min="13" max="13" width="12.5703125" bestFit="1" customWidth="1"/>
    <col min="14" max="14" width="15.28515625" bestFit="1" customWidth="1"/>
  </cols>
  <sheetData>
    <row r="1" spans="1:12" x14ac:dyDescent="0.2">
      <c r="D1" s="371"/>
      <c r="E1" s="371"/>
      <c r="F1" s="371"/>
    </row>
    <row r="2" spans="1:12" x14ac:dyDescent="0.2">
      <c r="A2" s="390" t="s">
        <v>192</v>
      </c>
      <c r="B2" s="390"/>
      <c r="C2" s="390"/>
      <c r="D2" s="390"/>
      <c r="E2" s="390"/>
      <c r="F2" s="390"/>
    </row>
    <row r="3" spans="1:12" x14ac:dyDescent="0.2">
      <c r="A3" s="390" t="s">
        <v>170</v>
      </c>
      <c r="B3" s="390"/>
      <c r="C3" s="390"/>
      <c r="D3" s="390"/>
      <c r="E3" s="390"/>
      <c r="F3" s="390"/>
    </row>
    <row r="4" spans="1:12" x14ac:dyDescent="0.2">
      <c r="F4" s="6" t="s">
        <v>49</v>
      </c>
    </row>
    <row r="5" spans="1:12" ht="21.95" customHeight="1" thickBot="1" x14ac:dyDescent="0.25">
      <c r="A5" s="438" t="s">
        <v>41</v>
      </c>
      <c r="B5" s="438"/>
      <c r="C5" s="438"/>
      <c r="D5" s="438"/>
      <c r="E5" s="438"/>
      <c r="F5" s="438"/>
      <c r="J5" s="54"/>
      <c r="K5" s="54"/>
      <c r="L5" s="54"/>
    </row>
    <row r="6" spans="1:12" ht="21.95" customHeight="1" x14ac:dyDescent="0.2">
      <c r="A6" s="428" t="s">
        <v>103</v>
      </c>
      <c r="B6" s="429"/>
      <c r="C6" s="429"/>
      <c r="D6" s="429"/>
      <c r="E6" s="429"/>
      <c r="F6" s="430"/>
      <c r="H6" s="425" t="s">
        <v>154</v>
      </c>
      <c r="I6" s="425"/>
      <c r="J6" s="227">
        <v>56764450</v>
      </c>
    </row>
    <row r="7" spans="1:12" ht="18.75" customHeight="1" x14ac:dyDescent="0.2">
      <c r="A7" s="431" t="s">
        <v>0</v>
      </c>
      <c r="B7" s="433" t="s">
        <v>39</v>
      </c>
      <c r="C7" s="422">
        <v>2023</v>
      </c>
      <c r="D7" s="423"/>
      <c r="E7" s="423"/>
      <c r="F7" s="424"/>
    </row>
    <row r="8" spans="1:12" ht="25.5" customHeight="1" thickBot="1" x14ac:dyDescent="0.25">
      <c r="A8" s="432"/>
      <c r="B8" s="434"/>
      <c r="C8" s="31" t="s">
        <v>59</v>
      </c>
      <c r="D8" s="171" t="s">
        <v>117</v>
      </c>
      <c r="E8" s="31" t="s">
        <v>58</v>
      </c>
      <c r="F8" s="14" t="s">
        <v>185</v>
      </c>
    </row>
    <row r="9" spans="1:12" ht="21.95" customHeight="1" x14ac:dyDescent="0.2">
      <c r="A9" s="52" t="s">
        <v>4</v>
      </c>
      <c r="B9" s="183" t="s">
        <v>21</v>
      </c>
      <c r="C9" s="193">
        <v>23350000</v>
      </c>
      <c r="D9" s="228">
        <f t="shared" ref="D9:D17" si="0">F9-C9</f>
        <v>0</v>
      </c>
      <c r="E9" s="38">
        <f>F9/C9*100</f>
        <v>100</v>
      </c>
      <c r="F9" s="10">
        <f>SUM('Részletes cofogos'!G5)</f>
        <v>23350000</v>
      </c>
      <c r="H9" s="177"/>
    </row>
    <row r="10" spans="1:12" ht="21.95" customHeight="1" x14ac:dyDescent="0.2">
      <c r="A10" s="21" t="s">
        <v>115</v>
      </c>
      <c r="B10" s="33" t="s">
        <v>114</v>
      </c>
      <c r="C10" s="189">
        <v>0</v>
      </c>
      <c r="D10" s="158">
        <f t="shared" si="0"/>
        <v>0</v>
      </c>
      <c r="E10" s="38">
        <v>0</v>
      </c>
      <c r="F10" s="10">
        <f>SUM('Részletes cofogos'!G17)</f>
        <v>0</v>
      </c>
      <c r="H10" s="177"/>
    </row>
    <row r="11" spans="1:12" ht="21.95" customHeight="1" x14ac:dyDescent="0.2">
      <c r="A11" s="21" t="s">
        <v>172</v>
      </c>
      <c r="B11" s="33" t="s">
        <v>173</v>
      </c>
      <c r="C11" s="33">
        <v>0</v>
      </c>
      <c r="D11" s="158">
        <f t="shared" si="0"/>
        <v>0</v>
      </c>
      <c r="E11" s="38">
        <v>0</v>
      </c>
      <c r="F11" s="10">
        <f>SUM('Részletes cofogos'!G18)</f>
        <v>0</v>
      </c>
      <c r="H11" s="177"/>
    </row>
    <row r="12" spans="1:12" ht="21.95" customHeight="1" x14ac:dyDescent="0.2">
      <c r="A12" s="37" t="s">
        <v>67</v>
      </c>
      <c r="B12" s="34" t="s">
        <v>68</v>
      </c>
      <c r="C12" s="190">
        <v>350000</v>
      </c>
      <c r="D12" s="158">
        <f t="shared" si="0"/>
        <v>0</v>
      </c>
      <c r="E12" s="38">
        <v>0</v>
      </c>
      <c r="F12" s="10">
        <f>SUM('Részletes cofogos'!G19)</f>
        <v>350000</v>
      </c>
    </row>
    <row r="13" spans="1:12" ht="21.95" customHeight="1" x14ac:dyDescent="0.2">
      <c r="A13" s="37" t="s">
        <v>5</v>
      </c>
      <c r="B13" s="34" t="s">
        <v>22</v>
      </c>
      <c r="C13" s="190">
        <v>250000</v>
      </c>
      <c r="D13" s="158">
        <f t="shared" si="0"/>
        <v>0</v>
      </c>
      <c r="E13" s="38">
        <f>F13/C13*100</f>
        <v>100</v>
      </c>
      <c r="F13" s="10">
        <f>SUM('Részletes cofogos'!G20)</f>
        <v>250000</v>
      </c>
    </row>
    <row r="14" spans="1:12" ht="21.95" customHeight="1" x14ac:dyDescent="0.2">
      <c r="A14" s="1" t="s">
        <v>6</v>
      </c>
      <c r="B14" s="34" t="s">
        <v>23</v>
      </c>
      <c r="C14" s="295">
        <v>0</v>
      </c>
      <c r="D14" s="158">
        <f t="shared" si="0"/>
        <v>0</v>
      </c>
      <c r="E14" s="38">
        <v>0</v>
      </c>
      <c r="F14" s="10">
        <f>SUM('Részletes cofogos'!G21)</f>
        <v>0</v>
      </c>
    </row>
    <row r="15" spans="1:12" ht="21.95" customHeight="1" x14ac:dyDescent="0.2">
      <c r="A15" s="1" t="s">
        <v>7</v>
      </c>
      <c r="B15" s="34" t="s">
        <v>24</v>
      </c>
      <c r="C15" s="190">
        <v>800000</v>
      </c>
      <c r="D15" s="158">
        <f t="shared" si="0"/>
        <v>0</v>
      </c>
      <c r="E15" s="38">
        <f>F15/C15*100</f>
        <v>100</v>
      </c>
      <c r="F15" s="8">
        <f>SUM('Részletes cofogos'!G23)</f>
        <v>800000</v>
      </c>
    </row>
    <row r="16" spans="1:12" ht="21.95" customHeight="1" x14ac:dyDescent="0.2">
      <c r="A16" s="37" t="s">
        <v>8</v>
      </c>
      <c r="B16" s="181" t="s">
        <v>25</v>
      </c>
      <c r="C16" s="189">
        <v>2600000</v>
      </c>
      <c r="D16" s="158">
        <f t="shared" si="0"/>
        <v>950000</v>
      </c>
      <c r="E16" s="38">
        <v>0</v>
      </c>
      <c r="F16" s="8">
        <f>SUM('Részletes cofogos'!G27)</f>
        <v>3550000</v>
      </c>
    </row>
    <row r="17" spans="1:8" ht="21.95" customHeight="1" thickBot="1" x14ac:dyDescent="0.25">
      <c r="A17" s="184" t="s">
        <v>120</v>
      </c>
      <c r="B17" s="182" t="s">
        <v>121</v>
      </c>
      <c r="C17" s="295">
        <v>0</v>
      </c>
      <c r="D17" s="192">
        <f t="shared" si="0"/>
        <v>150000</v>
      </c>
      <c r="E17" s="43">
        <v>0</v>
      </c>
      <c r="F17" s="180">
        <f>SUM('Részletes cofogos'!G31)</f>
        <v>150000</v>
      </c>
    </row>
    <row r="18" spans="1:8" ht="21.95" customHeight="1" thickBot="1" x14ac:dyDescent="0.25">
      <c r="A18" s="426" t="s">
        <v>35</v>
      </c>
      <c r="B18" s="427"/>
      <c r="C18" s="185">
        <f>SUM(C9:C17)</f>
        <v>27350000</v>
      </c>
      <c r="D18" s="186">
        <f>SUM(D9:D17)</f>
        <v>1100000</v>
      </c>
      <c r="E18" s="45">
        <f>F18/C18*100</f>
        <v>104.0219378427788</v>
      </c>
      <c r="F18" s="46">
        <f>SUM(F9:F17)</f>
        <v>28450000</v>
      </c>
    </row>
    <row r="19" spans="1:8" ht="21.95" customHeight="1" x14ac:dyDescent="0.2">
      <c r="A19" s="5" t="s">
        <v>9</v>
      </c>
      <c r="B19" s="33" t="s">
        <v>26</v>
      </c>
      <c r="C19" s="189">
        <v>3360000</v>
      </c>
      <c r="D19" s="228">
        <f>F19-C19</f>
        <v>150000</v>
      </c>
      <c r="E19" s="38">
        <f>F19/C19*100</f>
        <v>104.46428571428572</v>
      </c>
      <c r="F19" s="10">
        <f>SUM('Részletes cofogos'!G33:G34)</f>
        <v>3510000</v>
      </c>
    </row>
    <row r="20" spans="1:8" ht="21.95" customHeight="1" thickBot="1" x14ac:dyDescent="0.25">
      <c r="A20" s="2" t="s">
        <v>10</v>
      </c>
      <c r="B20" s="35" t="s">
        <v>27</v>
      </c>
      <c r="C20" s="191">
        <v>55000</v>
      </c>
      <c r="D20" s="192">
        <f>F20-C20</f>
        <v>20000</v>
      </c>
      <c r="E20" s="38">
        <f>F20/C20*100</f>
        <v>136.36363636363635</v>
      </c>
      <c r="F20" s="9">
        <f>SUM('Részletes cofogos'!G35:G36)</f>
        <v>75000</v>
      </c>
    </row>
    <row r="21" spans="1:8" ht="21.95" customHeight="1" thickBot="1" x14ac:dyDescent="0.25">
      <c r="A21" s="437" t="s">
        <v>69</v>
      </c>
      <c r="B21" s="427"/>
      <c r="C21" s="173">
        <f>SUM(C19:C20)</f>
        <v>3415000</v>
      </c>
      <c r="D21" s="186">
        <f>SUM(D19:D20)</f>
        <v>170000</v>
      </c>
      <c r="E21" s="45">
        <f>F21/C21*100</f>
        <v>104.97803806734993</v>
      </c>
      <c r="F21" s="46">
        <f>SUM(F19:F20)</f>
        <v>3585000</v>
      </c>
    </row>
    <row r="22" spans="1:8" ht="21.95" customHeight="1" thickBot="1" x14ac:dyDescent="0.25">
      <c r="A22" s="435" t="s">
        <v>40</v>
      </c>
      <c r="B22" s="436"/>
      <c r="C22" s="153">
        <f>SUM(C21,C18)</f>
        <v>30765000</v>
      </c>
      <c r="D22" s="153">
        <f>SUM(D21,D18)</f>
        <v>1270000</v>
      </c>
      <c r="E22" s="39">
        <f>F22/C22*100</f>
        <v>104.12806760929627</v>
      </c>
      <c r="F22" s="23">
        <f t="shared" ref="F22" si="1">F18+F21</f>
        <v>32035000</v>
      </c>
      <c r="H22" s="55"/>
    </row>
    <row r="23" spans="1:8" ht="26.25" customHeight="1" thickBot="1" x14ac:dyDescent="0.25">
      <c r="A23" s="441" t="s">
        <v>104</v>
      </c>
      <c r="B23" s="442"/>
      <c r="C23" s="442"/>
      <c r="D23" s="442"/>
      <c r="E23" s="442"/>
      <c r="F23" s="443"/>
      <c r="G23" s="3"/>
    </row>
    <row r="24" spans="1:8" ht="24.95" customHeight="1" x14ac:dyDescent="0.2">
      <c r="A24" s="439" t="s">
        <v>0</v>
      </c>
      <c r="B24" s="440" t="s">
        <v>39</v>
      </c>
      <c r="C24" s="422">
        <v>2023</v>
      </c>
      <c r="D24" s="423"/>
      <c r="E24" s="423"/>
      <c r="F24" s="424"/>
    </row>
    <row r="25" spans="1:8" ht="24.95" customHeight="1" thickBot="1" x14ac:dyDescent="0.25">
      <c r="A25" s="432"/>
      <c r="B25" s="434"/>
      <c r="C25" s="31" t="s">
        <v>59</v>
      </c>
      <c r="D25" s="171" t="s">
        <v>117</v>
      </c>
      <c r="E25" s="31" t="s">
        <v>58</v>
      </c>
      <c r="F25" s="14" t="s">
        <v>185</v>
      </c>
    </row>
    <row r="26" spans="1:8" ht="21.95" customHeight="1" x14ac:dyDescent="0.2">
      <c r="A26" s="52" t="s">
        <v>4</v>
      </c>
      <c r="B26" s="183" t="s">
        <v>21</v>
      </c>
      <c r="C26" s="193">
        <v>28450000</v>
      </c>
      <c r="D26" s="228">
        <f t="shared" ref="D26:D34" si="2">F26-C26</f>
        <v>0</v>
      </c>
      <c r="E26" s="156">
        <f>F26/C26*100</f>
        <v>100</v>
      </c>
      <c r="F26" s="157">
        <f>SUM('Részletes cofogos'!G42)</f>
        <v>28450000</v>
      </c>
    </row>
    <row r="27" spans="1:8" ht="21.95" customHeight="1" x14ac:dyDescent="0.2">
      <c r="A27" s="21" t="s">
        <v>113</v>
      </c>
      <c r="B27" s="33" t="s">
        <v>114</v>
      </c>
      <c r="C27" s="189">
        <v>0</v>
      </c>
      <c r="D27" s="7">
        <f t="shared" si="2"/>
        <v>0</v>
      </c>
      <c r="E27" s="47">
        <v>0</v>
      </c>
      <c r="F27" s="10">
        <f>SUM('Részletes cofogos'!G53)</f>
        <v>0</v>
      </c>
    </row>
    <row r="28" spans="1:8" ht="21.95" customHeight="1" x14ac:dyDescent="0.2">
      <c r="A28" s="21" t="s">
        <v>106</v>
      </c>
      <c r="B28" s="33" t="s">
        <v>105</v>
      </c>
      <c r="C28" s="189">
        <v>0</v>
      </c>
      <c r="D28" s="7">
        <f t="shared" si="2"/>
        <v>0</v>
      </c>
      <c r="E28" s="38">
        <v>0</v>
      </c>
      <c r="F28" s="10">
        <f>SUM('Részletes cofogos'!G54)</f>
        <v>0</v>
      </c>
    </row>
    <row r="29" spans="1:8" ht="21.95" customHeight="1" x14ac:dyDescent="0.2">
      <c r="A29" s="37" t="s">
        <v>67</v>
      </c>
      <c r="B29" s="34" t="s">
        <v>68</v>
      </c>
      <c r="C29" s="190">
        <v>480000</v>
      </c>
      <c r="D29" s="7">
        <f t="shared" si="2"/>
        <v>0</v>
      </c>
      <c r="E29" s="38">
        <f t="shared" ref="E29:E32" si="3">F29/C29*100</f>
        <v>100</v>
      </c>
      <c r="F29" s="10">
        <f>SUM('Részletes cofogos'!G55)</f>
        <v>480000</v>
      </c>
    </row>
    <row r="30" spans="1:8" ht="21.95" customHeight="1" x14ac:dyDescent="0.2">
      <c r="A30" s="37" t="s">
        <v>5</v>
      </c>
      <c r="B30" s="34" t="s">
        <v>22</v>
      </c>
      <c r="C30" s="190">
        <v>0</v>
      </c>
      <c r="D30" s="7">
        <f t="shared" si="2"/>
        <v>0</v>
      </c>
      <c r="E30" s="38">
        <v>0</v>
      </c>
      <c r="F30" s="10">
        <f>SUM('Részletes cofogos'!G56)</f>
        <v>0</v>
      </c>
    </row>
    <row r="31" spans="1:8" ht="21.95" customHeight="1" x14ac:dyDescent="0.2">
      <c r="A31" s="1" t="s">
        <v>6</v>
      </c>
      <c r="B31" s="34" t="s">
        <v>23</v>
      </c>
      <c r="C31" s="190">
        <v>0</v>
      </c>
      <c r="D31" s="7">
        <f t="shared" si="2"/>
        <v>0</v>
      </c>
      <c r="E31" s="38">
        <v>0</v>
      </c>
      <c r="F31" s="8">
        <f>SUM('Részletes cofogos'!G57)</f>
        <v>0</v>
      </c>
    </row>
    <row r="32" spans="1:8" ht="21.95" customHeight="1" x14ac:dyDescent="0.2">
      <c r="A32" s="1" t="s">
        <v>7</v>
      </c>
      <c r="B32" s="34" t="s">
        <v>24</v>
      </c>
      <c r="C32" s="190">
        <v>1400000</v>
      </c>
      <c r="D32" s="7">
        <f t="shared" si="2"/>
        <v>0</v>
      </c>
      <c r="E32" s="38">
        <f t="shared" si="3"/>
        <v>100</v>
      </c>
      <c r="F32" s="8">
        <f>SUM('Részletes cofogos'!G59)</f>
        <v>1400000</v>
      </c>
    </row>
    <row r="33" spans="1:6" ht="21.95" customHeight="1" x14ac:dyDescent="0.2">
      <c r="A33" s="37" t="s">
        <v>8</v>
      </c>
      <c r="B33" s="188" t="s">
        <v>25</v>
      </c>
      <c r="C33" s="190">
        <v>0</v>
      </c>
      <c r="D33" s="7">
        <f t="shared" si="2"/>
        <v>0</v>
      </c>
      <c r="E33" s="47">
        <v>0</v>
      </c>
      <c r="F33" s="8">
        <f>SUM('Részletes cofogos'!G63)</f>
        <v>0</v>
      </c>
    </row>
    <row r="34" spans="1:6" ht="21.95" customHeight="1" thickBot="1" x14ac:dyDescent="0.25">
      <c r="A34" s="184" t="s">
        <v>120</v>
      </c>
      <c r="B34" s="182" t="s">
        <v>121</v>
      </c>
      <c r="C34" s="191">
        <v>0</v>
      </c>
      <c r="D34" s="200">
        <f t="shared" si="2"/>
        <v>0</v>
      </c>
      <c r="E34" s="229">
        <v>0</v>
      </c>
      <c r="F34" s="230">
        <f>SUM('Részletes cofogos'!G65)</f>
        <v>0</v>
      </c>
    </row>
    <row r="35" spans="1:6" ht="21.95" customHeight="1" thickBot="1" x14ac:dyDescent="0.25">
      <c r="A35" s="426" t="s">
        <v>35</v>
      </c>
      <c r="B35" s="427"/>
      <c r="C35" s="44">
        <f>SUM(C26:C34)</f>
        <v>30330000</v>
      </c>
      <c r="D35" s="44">
        <f>SUM(D26:D34)</f>
        <v>0</v>
      </c>
      <c r="E35" s="45">
        <f>F35/C35*100</f>
        <v>100</v>
      </c>
      <c r="F35" s="46">
        <f>SUM(F26:F34)</f>
        <v>30330000</v>
      </c>
    </row>
    <row r="36" spans="1:6" ht="21.95" customHeight="1" x14ac:dyDescent="0.2">
      <c r="A36" s="5" t="s">
        <v>9</v>
      </c>
      <c r="B36" s="33" t="s">
        <v>26</v>
      </c>
      <c r="C36" s="157">
        <v>3950000</v>
      </c>
      <c r="D36" s="36">
        <f>F36-C36</f>
        <v>0</v>
      </c>
      <c r="E36" s="38">
        <f>F36/C36*100</f>
        <v>100</v>
      </c>
      <c r="F36" s="10">
        <f>SUM('Részletes cofogos'!G67:G68)</f>
        <v>3950000</v>
      </c>
    </row>
    <row r="37" spans="1:6" ht="21.95" customHeight="1" thickBot="1" x14ac:dyDescent="0.25">
      <c r="A37" s="2" t="s">
        <v>10</v>
      </c>
      <c r="B37" s="35" t="s">
        <v>27</v>
      </c>
      <c r="C37" s="172">
        <v>75000</v>
      </c>
      <c r="D37" s="36">
        <f>F37-C37</f>
        <v>0</v>
      </c>
      <c r="E37" s="38">
        <f>F37/C37*100</f>
        <v>100</v>
      </c>
      <c r="F37" s="9">
        <f>SUM('Részletes cofogos'!G69:G70)</f>
        <v>75000</v>
      </c>
    </row>
    <row r="38" spans="1:6" ht="21.95" customHeight="1" thickBot="1" x14ac:dyDescent="0.25">
      <c r="A38" s="437" t="s">
        <v>69</v>
      </c>
      <c r="B38" s="427"/>
      <c r="C38" s="44">
        <f>SUM(C36:C37)</f>
        <v>4025000</v>
      </c>
      <c r="D38" s="44">
        <f>SUM(D36:D37)</f>
        <v>0</v>
      </c>
      <c r="E38" s="154">
        <f>F38/C38*100</f>
        <v>100</v>
      </c>
      <c r="F38" s="155">
        <f>SUM(F36:F37)</f>
        <v>4025000</v>
      </c>
    </row>
    <row r="39" spans="1:6" ht="21.95" customHeight="1" thickBot="1" x14ac:dyDescent="0.25">
      <c r="A39" s="435" t="s">
        <v>40</v>
      </c>
      <c r="B39" s="436"/>
      <c r="C39" s="153">
        <f>C35+C38</f>
        <v>34355000</v>
      </c>
      <c r="D39" s="23">
        <f>D35+D38</f>
        <v>0</v>
      </c>
      <c r="E39" s="39">
        <f>F39/C39*100</f>
        <v>100</v>
      </c>
      <c r="F39" s="23">
        <f>F35+F38</f>
        <v>34355000</v>
      </c>
    </row>
    <row r="40" spans="1:6" ht="21.95" customHeight="1" x14ac:dyDescent="0.2">
      <c r="A40" s="428" t="s">
        <v>107</v>
      </c>
      <c r="B40" s="429"/>
      <c r="C40" s="429"/>
      <c r="D40" s="429"/>
      <c r="E40" s="429"/>
      <c r="F40" s="430"/>
    </row>
    <row r="41" spans="1:6" ht="21.95" customHeight="1" x14ac:dyDescent="0.2">
      <c r="A41" s="431" t="s">
        <v>0</v>
      </c>
      <c r="B41" s="433" t="s">
        <v>39</v>
      </c>
      <c r="C41" s="422">
        <v>2023</v>
      </c>
      <c r="D41" s="423"/>
      <c r="E41" s="423"/>
      <c r="F41" s="424"/>
    </row>
    <row r="42" spans="1:6" ht="21.95" customHeight="1" thickBot="1" x14ac:dyDescent="0.25">
      <c r="A42" s="432"/>
      <c r="B42" s="434"/>
      <c r="C42" s="31" t="s">
        <v>59</v>
      </c>
      <c r="D42" s="171" t="s">
        <v>117</v>
      </c>
      <c r="E42" s="31" t="s">
        <v>58</v>
      </c>
      <c r="F42" s="14" t="s">
        <v>185</v>
      </c>
    </row>
    <row r="43" spans="1:6" ht="21.95" customHeight="1" thickBot="1" x14ac:dyDescent="0.25">
      <c r="A43" s="56" t="s">
        <v>9</v>
      </c>
      <c r="B43" s="33" t="s">
        <v>26</v>
      </c>
      <c r="C43" s="333">
        <v>20000</v>
      </c>
      <c r="D43" s="343">
        <f>F43-C43</f>
        <v>0</v>
      </c>
      <c r="E43" s="334">
        <f>SUM(F43/C43*100)</f>
        <v>100</v>
      </c>
      <c r="F43" s="335">
        <f>SUM('Részletes cofogos'!G76)</f>
        <v>20000</v>
      </c>
    </row>
    <row r="44" spans="1:6" ht="21.95" customHeight="1" thickBot="1" x14ac:dyDescent="0.25">
      <c r="A44" s="437" t="s">
        <v>69</v>
      </c>
      <c r="B44" s="427"/>
      <c r="C44" s="44">
        <f>SUM(C43)</f>
        <v>20000</v>
      </c>
      <c r="D44" s="345">
        <f t="shared" ref="D44" si="4">SUM(D43)</f>
        <v>0</v>
      </c>
      <c r="E44" s="45">
        <f>SUM(F44/C44*100)</f>
        <v>100</v>
      </c>
      <c r="F44" s="344">
        <f>SUM(F43)</f>
        <v>20000</v>
      </c>
    </row>
    <row r="45" spans="1:6" ht="21.95" customHeight="1" x14ac:dyDescent="0.2">
      <c r="A45" s="52" t="s">
        <v>11</v>
      </c>
      <c r="B45" s="32" t="s">
        <v>28</v>
      </c>
      <c r="C45" s="174">
        <v>110000</v>
      </c>
      <c r="D45" s="7">
        <f t="shared" ref="D45:D58" si="5">F45-C45</f>
        <v>0</v>
      </c>
      <c r="E45" s="47">
        <f t="shared" ref="E45:E57" si="6">F45/C45*100</f>
        <v>100</v>
      </c>
      <c r="F45" s="8">
        <f>SUM('Részletes cofogos'!G78)</f>
        <v>110000</v>
      </c>
    </row>
    <row r="46" spans="1:6" ht="21.95" customHeight="1" x14ac:dyDescent="0.2">
      <c r="A46" s="1" t="s">
        <v>12</v>
      </c>
      <c r="B46" s="32" t="s">
        <v>29</v>
      </c>
      <c r="C46" s="174">
        <v>1800000</v>
      </c>
      <c r="D46" s="7">
        <f t="shared" si="5"/>
        <v>0</v>
      </c>
      <c r="E46" s="47">
        <f t="shared" si="6"/>
        <v>100</v>
      </c>
      <c r="F46" s="8">
        <f>SUM('Részletes cofogos'!G81)</f>
        <v>1800000</v>
      </c>
    </row>
    <row r="47" spans="1:6" ht="21.95" customHeight="1" x14ac:dyDescent="0.2">
      <c r="A47" s="37" t="s">
        <v>70</v>
      </c>
      <c r="B47" s="32" t="s">
        <v>71</v>
      </c>
      <c r="C47" s="174">
        <v>108000</v>
      </c>
      <c r="D47" s="7">
        <f t="shared" si="5"/>
        <v>0</v>
      </c>
      <c r="E47" s="47">
        <f t="shared" si="6"/>
        <v>100</v>
      </c>
      <c r="F47" s="8">
        <f>SUM('Részletes cofogos'!G88)</f>
        <v>108000</v>
      </c>
    </row>
    <row r="48" spans="1:6" ht="21.95" customHeight="1" x14ac:dyDescent="0.2">
      <c r="A48" s="22" t="s">
        <v>13</v>
      </c>
      <c r="B48" s="49" t="s">
        <v>72</v>
      </c>
      <c r="C48" s="7">
        <v>78000</v>
      </c>
      <c r="D48" s="7">
        <f t="shared" si="5"/>
        <v>0</v>
      </c>
      <c r="E48" s="47">
        <f t="shared" si="6"/>
        <v>100</v>
      </c>
      <c r="F48" s="8">
        <f>SUM('Részletes cofogos'!G90)</f>
        <v>78000</v>
      </c>
    </row>
    <row r="49" spans="1:7" ht="21.95" customHeight="1" x14ac:dyDescent="0.2">
      <c r="A49" s="37" t="s">
        <v>78</v>
      </c>
      <c r="B49" s="48" t="s">
        <v>122</v>
      </c>
      <c r="C49" s="7">
        <v>3120000</v>
      </c>
      <c r="D49" s="7">
        <f t="shared" si="5"/>
        <v>218900</v>
      </c>
      <c r="E49" s="47">
        <f t="shared" si="6"/>
        <v>107.01602564102564</v>
      </c>
      <c r="F49" s="8">
        <f>SUM('Részletes cofogos'!G92)</f>
        <v>3338900</v>
      </c>
    </row>
    <row r="50" spans="1:7" ht="21.95" customHeight="1" x14ac:dyDescent="0.2">
      <c r="A50" s="194" t="s">
        <v>82</v>
      </c>
      <c r="B50" s="195" t="s">
        <v>79</v>
      </c>
      <c r="C50" s="196">
        <v>400000</v>
      </c>
      <c r="D50" s="196">
        <f t="shared" si="5"/>
        <v>200000</v>
      </c>
      <c r="E50" s="197">
        <f t="shared" si="6"/>
        <v>150</v>
      </c>
      <c r="F50" s="196">
        <f>SUM('Részletes cofogos'!G93)</f>
        <v>600000</v>
      </c>
    </row>
    <row r="51" spans="1:7" ht="21.95" customHeight="1" x14ac:dyDescent="0.2">
      <c r="A51" s="198" t="s">
        <v>81</v>
      </c>
      <c r="B51" s="195" t="s">
        <v>80</v>
      </c>
      <c r="C51" s="196">
        <v>2000000</v>
      </c>
      <c r="D51" s="196">
        <f t="shared" si="5"/>
        <v>138900</v>
      </c>
      <c r="E51" s="197">
        <f t="shared" si="6"/>
        <v>106.94500000000001</v>
      </c>
      <c r="F51" s="196">
        <f>SUM('Részletes cofogos'!G94)</f>
        <v>2138900</v>
      </c>
    </row>
    <row r="52" spans="1:7" ht="21.95" customHeight="1" x14ac:dyDescent="0.2">
      <c r="A52" s="199" t="s">
        <v>83</v>
      </c>
      <c r="B52" s="195" t="s">
        <v>84</v>
      </c>
      <c r="C52" s="196">
        <v>720000</v>
      </c>
      <c r="D52" s="196">
        <f t="shared" si="5"/>
        <v>-120000</v>
      </c>
      <c r="E52" s="197">
        <f t="shared" si="6"/>
        <v>83.333333333333343</v>
      </c>
      <c r="F52" s="196">
        <f>SUM('Részletes cofogos'!G95)</f>
        <v>600000</v>
      </c>
    </row>
    <row r="53" spans="1:7" ht="21.95" customHeight="1" x14ac:dyDescent="0.2">
      <c r="A53" s="37" t="s">
        <v>76</v>
      </c>
      <c r="B53" s="48" t="s">
        <v>77</v>
      </c>
      <c r="C53" s="7">
        <v>6800000</v>
      </c>
      <c r="D53" s="7">
        <f t="shared" si="5"/>
        <v>2648800</v>
      </c>
      <c r="E53" s="47">
        <f t="shared" si="6"/>
        <v>138.9529411764706</v>
      </c>
      <c r="F53" s="8">
        <f>SUM('Részletes cofogos'!G96)</f>
        <v>9448800</v>
      </c>
    </row>
    <row r="54" spans="1:7" ht="21.95" customHeight="1" x14ac:dyDescent="0.2">
      <c r="A54" s="37" t="s">
        <v>108</v>
      </c>
      <c r="B54" s="32" t="s">
        <v>109</v>
      </c>
      <c r="C54" s="174">
        <v>1430000</v>
      </c>
      <c r="D54" s="7">
        <f t="shared" si="5"/>
        <v>0</v>
      </c>
      <c r="E54" s="47">
        <f t="shared" si="6"/>
        <v>100</v>
      </c>
      <c r="F54" s="8">
        <f>SUM('Részletes cofogos'!G98)</f>
        <v>1430000</v>
      </c>
    </row>
    <row r="55" spans="1:7" ht="21.95" customHeight="1" x14ac:dyDescent="0.2">
      <c r="A55" s="1" t="s">
        <v>14</v>
      </c>
      <c r="B55" s="32" t="s">
        <v>30</v>
      </c>
      <c r="C55" s="174">
        <v>1160000</v>
      </c>
      <c r="D55" s="7">
        <f t="shared" si="5"/>
        <v>0</v>
      </c>
      <c r="E55" s="47">
        <f t="shared" si="6"/>
        <v>100</v>
      </c>
      <c r="F55" s="8">
        <f>SUM('Részletes cofogos'!G103)</f>
        <v>1160000</v>
      </c>
    </row>
    <row r="56" spans="1:7" ht="21.95" customHeight="1" x14ac:dyDescent="0.2">
      <c r="A56" s="5" t="s">
        <v>15</v>
      </c>
      <c r="B56" s="48" t="s">
        <v>31</v>
      </c>
      <c r="C56" s="7">
        <v>100000</v>
      </c>
      <c r="D56" s="7">
        <f t="shared" si="5"/>
        <v>0</v>
      </c>
      <c r="E56" s="47">
        <f t="shared" si="6"/>
        <v>100</v>
      </c>
      <c r="F56" s="8">
        <f>SUM('Részletes cofogos'!G107)</f>
        <v>100000</v>
      </c>
    </row>
    <row r="57" spans="1:7" ht="21.95" customHeight="1" x14ac:dyDescent="0.2">
      <c r="A57" s="1" t="s">
        <v>16</v>
      </c>
      <c r="B57" s="48" t="s">
        <v>32</v>
      </c>
      <c r="C57" s="7">
        <v>3500000</v>
      </c>
      <c r="D57" s="7">
        <f t="shared" si="5"/>
        <v>1000000</v>
      </c>
      <c r="E57" s="47">
        <f t="shared" si="6"/>
        <v>128.57142857142858</v>
      </c>
      <c r="F57" s="8">
        <f>SUM('Részletes cofogos'!G109)</f>
        <v>4500000</v>
      </c>
      <c r="G57" s="159"/>
    </row>
    <row r="58" spans="1:7" ht="21.75" customHeight="1" thickBot="1" x14ac:dyDescent="0.25">
      <c r="A58" s="2" t="s">
        <v>17</v>
      </c>
      <c r="B58" s="49" t="s">
        <v>61</v>
      </c>
      <c r="C58" s="50">
        <v>10000</v>
      </c>
      <c r="D58" s="7">
        <f t="shared" si="5"/>
        <v>0</v>
      </c>
      <c r="E58" s="47">
        <v>0</v>
      </c>
      <c r="F58" s="8">
        <f>SUM('Részletes cofogos'!G110)</f>
        <v>10000</v>
      </c>
    </row>
    <row r="59" spans="1:7" ht="21.75" customHeight="1" thickBot="1" x14ac:dyDescent="0.25">
      <c r="A59" s="437" t="s">
        <v>37</v>
      </c>
      <c r="B59" s="446"/>
      <c r="C59" s="51">
        <f>SUM(C45:C49,C53:C58)</f>
        <v>18216000</v>
      </c>
      <c r="D59" s="51">
        <f>SUM(D45:D49,D53:D58)</f>
        <v>3867700</v>
      </c>
      <c r="E59" s="45">
        <f>SUM(F59/C59*100)</f>
        <v>121.23243302591129</v>
      </c>
      <c r="F59" s="46">
        <f>SUM(F45:F49,F53:F58)</f>
        <v>22083700</v>
      </c>
    </row>
    <row r="60" spans="1:7" ht="21.75" customHeight="1" thickBot="1" x14ac:dyDescent="0.25">
      <c r="A60" s="179" t="s">
        <v>136</v>
      </c>
      <c r="B60" s="226" t="s">
        <v>137</v>
      </c>
      <c r="C60" s="225">
        <v>0</v>
      </c>
      <c r="D60" s="225">
        <v>0</v>
      </c>
      <c r="E60" s="43">
        <v>0</v>
      </c>
      <c r="F60" s="68">
        <f>SUM('Részletes cofogos'!G112)</f>
        <v>0</v>
      </c>
    </row>
    <row r="61" spans="1:7" ht="21.95" customHeight="1" thickBot="1" x14ac:dyDescent="0.25">
      <c r="A61" s="437" t="s">
        <v>135</v>
      </c>
      <c r="B61" s="446"/>
      <c r="C61" s="51">
        <f>SUM(C60)</f>
        <v>0</v>
      </c>
      <c r="D61" s="51">
        <f t="shared" ref="D61" si="7">SUM(D60)</f>
        <v>0</v>
      </c>
      <c r="E61" s="45">
        <v>0</v>
      </c>
      <c r="F61" s="46">
        <f>SUM(F60)</f>
        <v>0</v>
      </c>
    </row>
    <row r="62" spans="1:7" ht="21.95" customHeight="1" x14ac:dyDescent="0.2">
      <c r="A62" s="56" t="s">
        <v>85</v>
      </c>
      <c r="B62" s="58" t="s">
        <v>86</v>
      </c>
      <c r="C62" s="228">
        <v>1430000</v>
      </c>
      <c r="D62" s="292">
        <f>F62-C62</f>
        <v>1144095</v>
      </c>
      <c r="E62" s="156">
        <f>SUM(F62/C62*100)</f>
        <v>180.00664335664337</v>
      </c>
      <c r="F62" s="157">
        <f>SUM('Részletes cofogos'!G114)</f>
        <v>2574095</v>
      </c>
    </row>
    <row r="63" spans="1:7" ht="21.95" customHeight="1" thickBot="1" x14ac:dyDescent="0.25">
      <c r="A63" s="37" t="s">
        <v>87</v>
      </c>
      <c r="B63" s="48" t="s">
        <v>89</v>
      </c>
      <c r="C63" s="7">
        <v>386100</v>
      </c>
      <c r="D63" s="200">
        <f>F63-C63</f>
        <v>308905</v>
      </c>
      <c r="E63" s="38">
        <f>SUM(F63/C63*100)</f>
        <v>180.006475006475</v>
      </c>
      <c r="F63" s="10">
        <f>SUM('Részletes cofogos'!G116)</f>
        <v>695005</v>
      </c>
    </row>
    <row r="64" spans="1:7" ht="21.95" customHeight="1" thickBot="1" x14ac:dyDescent="0.25">
      <c r="A64" s="437" t="s">
        <v>88</v>
      </c>
      <c r="B64" s="446"/>
      <c r="C64" s="51">
        <f>SUM(C62:C63)</f>
        <v>1816100</v>
      </c>
      <c r="D64" s="51">
        <f>SUM(D62:D63)</f>
        <v>1453000</v>
      </c>
      <c r="E64" s="154">
        <f>SUM(F64/C64*100)</f>
        <v>180.0066075656627</v>
      </c>
      <c r="F64" s="155">
        <f>SUM(F62:F63)</f>
        <v>3269100</v>
      </c>
    </row>
    <row r="65" spans="1:7" ht="21.95" customHeight="1" thickBot="1" x14ac:dyDescent="0.25">
      <c r="A65" s="444" t="s">
        <v>40</v>
      </c>
      <c r="B65" s="445"/>
      <c r="C65" s="53">
        <f>SUM(C59+C61+C64+C44)</f>
        <v>20052100</v>
      </c>
      <c r="D65" s="53">
        <f>D61+D64+D59+D44</f>
        <v>5320700</v>
      </c>
      <c r="E65" s="57">
        <f>SUM(F65/C65*100)</f>
        <v>126.53437794545211</v>
      </c>
      <c r="F65" s="53">
        <f>SUM(F59,F61,F64,F44)</f>
        <v>25372800</v>
      </c>
      <c r="G65" s="40"/>
    </row>
    <row r="66" spans="1:7" ht="21.95" customHeight="1" x14ac:dyDescent="0.2">
      <c r="A66" s="428" t="s">
        <v>110</v>
      </c>
      <c r="B66" s="429"/>
      <c r="C66" s="429"/>
      <c r="D66" s="429"/>
      <c r="E66" s="429"/>
      <c r="F66" s="430"/>
    </row>
    <row r="67" spans="1:7" ht="21.95" customHeight="1" x14ac:dyDescent="0.2">
      <c r="A67" s="431" t="s">
        <v>0</v>
      </c>
      <c r="B67" s="433" t="s">
        <v>39</v>
      </c>
      <c r="C67" s="422">
        <v>2023</v>
      </c>
      <c r="D67" s="423"/>
      <c r="E67" s="423"/>
      <c r="F67" s="424"/>
    </row>
    <row r="68" spans="1:7" ht="21.95" customHeight="1" thickBot="1" x14ac:dyDescent="0.25">
      <c r="A68" s="432"/>
      <c r="B68" s="434"/>
      <c r="C68" s="31" t="s">
        <v>59</v>
      </c>
      <c r="D68" s="171" t="s">
        <v>117</v>
      </c>
      <c r="E68" s="31" t="s">
        <v>58</v>
      </c>
      <c r="F68" s="14" t="s">
        <v>185</v>
      </c>
    </row>
    <row r="69" spans="1:7" ht="21.95" customHeight="1" x14ac:dyDescent="0.2">
      <c r="A69" s="5" t="s">
        <v>4</v>
      </c>
      <c r="B69" s="33" t="s">
        <v>21</v>
      </c>
      <c r="C69" s="228">
        <v>3900000</v>
      </c>
      <c r="D69" s="36">
        <f t="shared" ref="D69:D74" si="8">F69-C69</f>
        <v>0</v>
      </c>
      <c r="E69" s="38">
        <f>F69/C69*100</f>
        <v>100</v>
      </c>
      <c r="F69" s="10">
        <f>SUM('Részletes cofogos'!G122)</f>
        <v>3900000</v>
      </c>
    </row>
    <row r="70" spans="1:7" ht="21.95" customHeight="1" x14ac:dyDescent="0.2">
      <c r="A70" s="21" t="s">
        <v>115</v>
      </c>
      <c r="B70" s="33" t="s">
        <v>114</v>
      </c>
      <c r="C70" s="158">
        <v>0</v>
      </c>
      <c r="D70" s="36">
        <f t="shared" si="8"/>
        <v>0</v>
      </c>
      <c r="E70" s="38">
        <v>0</v>
      </c>
      <c r="F70" s="10">
        <f>SUM('Részletes cofogos'!G125)</f>
        <v>0</v>
      </c>
    </row>
    <row r="71" spans="1:7" ht="21.95" customHeight="1" x14ac:dyDescent="0.2">
      <c r="A71" s="37" t="s">
        <v>67</v>
      </c>
      <c r="B71" s="34" t="s">
        <v>68</v>
      </c>
      <c r="C71" s="7">
        <v>70000</v>
      </c>
      <c r="D71" s="36">
        <f t="shared" si="8"/>
        <v>0</v>
      </c>
      <c r="E71" s="38">
        <f t="shared" ref="E71" si="9">F71/C71*100</f>
        <v>100</v>
      </c>
      <c r="F71" s="10">
        <f>SUM('Részletes cofogos'!G126)</f>
        <v>70000</v>
      </c>
    </row>
    <row r="72" spans="1:7" ht="21.95" customHeight="1" x14ac:dyDescent="0.2">
      <c r="A72" s="1" t="s">
        <v>6</v>
      </c>
      <c r="B72" s="34" t="s">
        <v>23</v>
      </c>
      <c r="C72" s="7">
        <v>0</v>
      </c>
      <c r="D72" s="36">
        <f t="shared" si="8"/>
        <v>0</v>
      </c>
      <c r="E72" s="38">
        <v>0</v>
      </c>
      <c r="F72" s="10">
        <f>SUM('Részletes cofogos'!G127)</f>
        <v>0</v>
      </c>
    </row>
    <row r="73" spans="1:7" ht="21.95" customHeight="1" x14ac:dyDescent="0.2">
      <c r="A73" s="1" t="s">
        <v>7</v>
      </c>
      <c r="B73" s="34" t="s">
        <v>24</v>
      </c>
      <c r="C73" s="7">
        <v>250000</v>
      </c>
      <c r="D73" s="36">
        <f t="shared" si="8"/>
        <v>0</v>
      </c>
      <c r="E73" s="38">
        <f>F73/C73*100</f>
        <v>100</v>
      </c>
      <c r="F73" s="8">
        <f>SUM('Részletes cofogos'!G129)</f>
        <v>250000</v>
      </c>
    </row>
    <row r="74" spans="1:7" ht="21.95" customHeight="1" thickBot="1" x14ac:dyDescent="0.25">
      <c r="A74" s="24" t="s">
        <v>8</v>
      </c>
      <c r="B74" s="41" t="s">
        <v>25</v>
      </c>
      <c r="C74" s="306">
        <v>0</v>
      </c>
      <c r="D74" s="36">
        <f t="shared" si="8"/>
        <v>0</v>
      </c>
      <c r="E74" s="38">
        <v>0</v>
      </c>
      <c r="F74" s="9">
        <f>SUM('Részletes cofogos'!G133)</f>
        <v>0</v>
      </c>
    </row>
    <row r="75" spans="1:7" ht="21.95" customHeight="1" thickBot="1" x14ac:dyDescent="0.25">
      <c r="A75" s="426" t="s">
        <v>35</v>
      </c>
      <c r="B75" s="427"/>
      <c r="C75" s="44">
        <f>SUM(C69:C74)</f>
        <v>4220000</v>
      </c>
      <c r="D75" s="44">
        <f>SUM(D69:D74)</f>
        <v>0</v>
      </c>
      <c r="E75" s="45">
        <f>F75/C75*100</f>
        <v>100</v>
      </c>
      <c r="F75" s="46">
        <f>SUM(F69:F74)</f>
        <v>4220000</v>
      </c>
    </row>
    <row r="76" spans="1:7" ht="21.95" customHeight="1" x14ac:dyDescent="0.2">
      <c r="A76" s="5" t="s">
        <v>9</v>
      </c>
      <c r="B76" s="33" t="s">
        <v>26</v>
      </c>
      <c r="C76" s="228">
        <v>520000</v>
      </c>
      <c r="D76" s="42">
        <f>F76-C76</f>
        <v>0</v>
      </c>
      <c r="E76" s="38">
        <f>F76/C76*100</f>
        <v>100</v>
      </c>
      <c r="F76" s="10">
        <f>SUM('Részletes cofogos'!G135:G136)</f>
        <v>520000</v>
      </c>
    </row>
    <row r="77" spans="1:7" ht="21.95" customHeight="1" thickBot="1" x14ac:dyDescent="0.25">
      <c r="A77" s="2" t="s">
        <v>10</v>
      </c>
      <c r="B77" s="35" t="s">
        <v>27</v>
      </c>
      <c r="C77" s="200">
        <v>15000</v>
      </c>
      <c r="D77" s="307">
        <f>F77-C77</f>
        <v>0</v>
      </c>
      <c r="E77" s="38">
        <f>F77/C77*100</f>
        <v>100</v>
      </c>
      <c r="F77" s="10">
        <f>SUM('Részletes cofogos'!G137:G138)</f>
        <v>15000</v>
      </c>
    </row>
    <row r="78" spans="1:7" ht="21.95" customHeight="1" thickBot="1" x14ac:dyDescent="0.25">
      <c r="A78" s="437" t="s">
        <v>69</v>
      </c>
      <c r="B78" s="427"/>
      <c r="C78" s="44">
        <f>SUM(C76:C77)</f>
        <v>535000</v>
      </c>
      <c r="D78" s="44">
        <f>SUM(D76:D77)</f>
        <v>0</v>
      </c>
      <c r="E78" s="154">
        <f>F78/C78*100</f>
        <v>100</v>
      </c>
      <c r="F78" s="155">
        <f>SUM(F76:F77)</f>
        <v>535000</v>
      </c>
    </row>
    <row r="79" spans="1:7" ht="21.95" customHeight="1" thickBot="1" x14ac:dyDescent="0.25">
      <c r="A79" s="435" t="s">
        <v>40</v>
      </c>
      <c r="B79" s="436"/>
      <c r="C79" s="153">
        <f>C75+C78</f>
        <v>4755000</v>
      </c>
      <c r="D79" s="23">
        <f>D75+D78</f>
        <v>0</v>
      </c>
      <c r="E79" s="39">
        <f>F79/C79*100</f>
        <v>100</v>
      </c>
      <c r="F79" s="23">
        <f t="shared" ref="F79" si="10">F75+F78</f>
        <v>4755000</v>
      </c>
    </row>
    <row r="80" spans="1:7" ht="21.95" customHeight="1" x14ac:dyDescent="0.2">
      <c r="A80" s="428" t="s">
        <v>112</v>
      </c>
      <c r="B80" s="429"/>
      <c r="C80" s="429"/>
      <c r="D80" s="429"/>
      <c r="E80" s="429"/>
      <c r="F80" s="430"/>
    </row>
    <row r="81" spans="1:10" ht="21.95" customHeight="1" x14ac:dyDescent="0.2">
      <c r="A81" s="431" t="s">
        <v>0</v>
      </c>
      <c r="B81" s="433" t="s">
        <v>39</v>
      </c>
      <c r="C81" s="422">
        <v>2023</v>
      </c>
      <c r="D81" s="423"/>
      <c r="E81" s="423"/>
      <c r="F81" s="424"/>
    </row>
    <row r="82" spans="1:10" ht="21.95" customHeight="1" thickBot="1" x14ac:dyDescent="0.25">
      <c r="A82" s="432"/>
      <c r="B82" s="434"/>
      <c r="C82" s="31" t="s">
        <v>59</v>
      </c>
      <c r="D82" s="171" t="s">
        <v>117</v>
      </c>
      <c r="E82" s="31" t="s">
        <v>58</v>
      </c>
      <c r="F82" s="14" t="s">
        <v>185</v>
      </c>
      <c r="H82" s="425" t="s">
        <v>138</v>
      </c>
      <c r="I82" s="425"/>
      <c r="J82" s="227">
        <v>13023000</v>
      </c>
    </row>
    <row r="83" spans="1:10" ht="21.95" customHeight="1" x14ac:dyDescent="0.2">
      <c r="A83" s="5" t="s">
        <v>4</v>
      </c>
      <c r="B83" s="33" t="s">
        <v>21</v>
      </c>
      <c r="C83" s="308">
        <v>20700000</v>
      </c>
      <c r="D83" s="36">
        <f t="shared" ref="D83:D89" si="11">F83-C83</f>
        <v>0</v>
      </c>
      <c r="E83" s="38">
        <f>F83/C83*100</f>
        <v>100</v>
      </c>
      <c r="F83" s="10">
        <f>SUM('Részletes cofogos'!G144)</f>
        <v>20700000</v>
      </c>
    </row>
    <row r="84" spans="1:10" ht="21.95" customHeight="1" x14ac:dyDescent="0.2">
      <c r="A84" s="21" t="s">
        <v>115</v>
      </c>
      <c r="B84" s="33" t="s">
        <v>114</v>
      </c>
      <c r="C84" s="309">
        <v>0</v>
      </c>
      <c r="D84" s="36">
        <f t="shared" si="11"/>
        <v>0</v>
      </c>
      <c r="E84" s="38">
        <v>0</v>
      </c>
      <c r="F84" s="10">
        <f>SUM('Részletes cofogos'!G154)</f>
        <v>0</v>
      </c>
    </row>
    <row r="85" spans="1:10" ht="21.95" customHeight="1" x14ac:dyDescent="0.2">
      <c r="A85" s="21" t="s">
        <v>172</v>
      </c>
      <c r="B85" s="33" t="s">
        <v>173</v>
      </c>
      <c r="C85" s="309">
        <v>400000</v>
      </c>
      <c r="D85" s="36">
        <f t="shared" si="11"/>
        <v>0</v>
      </c>
      <c r="E85" s="38">
        <f>F85/C85*100</f>
        <v>100</v>
      </c>
      <c r="F85" s="10">
        <f>SUM('Részletes cofogos'!G155)</f>
        <v>400000</v>
      </c>
    </row>
    <row r="86" spans="1:10" ht="21.95" customHeight="1" x14ac:dyDescent="0.2">
      <c r="A86" s="37" t="s">
        <v>67</v>
      </c>
      <c r="B86" s="34" t="s">
        <v>68</v>
      </c>
      <c r="C86" s="310">
        <v>260000</v>
      </c>
      <c r="D86" s="36">
        <f t="shared" si="11"/>
        <v>0</v>
      </c>
      <c r="E86" s="38">
        <f>F86/C86*100</f>
        <v>100</v>
      </c>
      <c r="F86" s="10">
        <f>SUM('Részletes cofogos'!G156)</f>
        <v>260000</v>
      </c>
    </row>
    <row r="87" spans="1:10" ht="21.95" customHeight="1" x14ac:dyDescent="0.2">
      <c r="A87" s="1" t="s">
        <v>6</v>
      </c>
      <c r="B87" s="34" t="s">
        <v>23</v>
      </c>
      <c r="C87" s="310">
        <v>0</v>
      </c>
      <c r="D87" s="36">
        <f t="shared" si="11"/>
        <v>0</v>
      </c>
      <c r="E87" s="38">
        <v>0</v>
      </c>
      <c r="F87" s="10">
        <f>SUM('Részletes cofogos'!G157)</f>
        <v>0</v>
      </c>
      <c r="H87" s="40" t="s">
        <v>119</v>
      </c>
    </row>
    <row r="88" spans="1:10" ht="21.95" customHeight="1" x14ac:dyDescent="0.2">
      <c r="A88" s="1" t="s">
        <v>7</v>
      </c>
      <c r="B88" s="34" t="s">
        <v>24</v>
      </c>
      <c r="C88" s="310">
        <v>1300000</v>
      </c>
      <c r="D88" s="36">
        <f t="shared" si="11"/>
        <v>0</v>
      </c>
      <c r="E88" s="38">
        <f>F88/C88*100</f>
        <v>100</v>
      </c>
      <c r="F88" s="8">
        <f>SUM('Részletes cofogos'!G159)</f>
        <v>1300000</v>
      </c>
      <c r="H88" s="40" t="s">
        <v>118</v>
      </c>
    </row>
    <row r="89" spans="1:10" ht="21.95" customHeight="1" thickBot="1" x14ac:dyDescent="0.25">
      <c r="A89" s="24" t="s">
        <v>8</v>
      </c>
      <c r="B89" s="41" t="s">
        <v>25</v>
      </c>
      <c r="C89" s="306">
        <v>0</v>
      </c>
      <c r="D89" s="36">
        <f t="shared" si="11"/>
        <v>0</v>
      </c>
      <c r="E89" s="38">
        <v>0</v>
      </c>
      <c r="F89" s="9">
        <f>SUM('Részletes cofogos'!G163)</f>
        <v>0</v>
      </c>
    </row>
    <row r="90" spans="1:10" ht="21.95" customHeight="1" thickBot="1" x14ac:dyDescent="0.25">
      <c r="A90" s="426" t="s">
        <v>35</v>
      </c>
      <c r="B90" s="427"/>
      <c r="C90" s="44">
        <f>SUM(C83:C89)</f>
        <v>22660000</v>
      </c>
      <c r="D90" s="44">
        <f>SUM(D83:D89)</f>
        <v>0</v>
      </c>
      <c r="E90" s="45">
        <f>F90/C90*100</f>
        <v>100</v>
      </c>
      <c r="F90" s="46">
        <f>SUM(F83:F89)</f>
        <v>22660000</v>
      </c>
    </row>
    <row r="91" spans="1:10" ht="21.95" customHeight="1" x14ac:dyDescent="0.2">
      <c r="A91" s="5" t="s">
        <v>9</v>
      </c>
      <c r="B91" s="33" t="s">
        <v>26</v>
      </c>
      <c r="C91" s="228">
        <v>2950000</v>
      </c>
      <c r="D91" s="36">
        <f>F91-C91</f>
        <v>0</v>
      </c>
      <c r="E91" s="38">
        <f>F91/C91*100</f>
        <v>100</v>
      </c>
      <c r="F91" s="10">
        <f>SUM('Részletes cofogos'!G165:G166)</f>
        <v>2950000</v>
      </c>
    </row>
    <row r="92" spans="1:10" ht="21.95" customHeight="1" thickBot="1" x14ac:dyDescent="0.25">
      <c r="A92" s="2" t="s">
        <v>10</v>
      </c>
      <c r="B92" s="35" t="s">
        <v>27</v>
      </c>
      <c r="C92" s="200">
        <v>40000</v>
      </c>
      <c r="D92" s="36">
        <f>F92-C92</f>
        <v>0</v>
      </c>
      <c r="E92" s="38">
        <f>F92/C92*100</f>
        <v>100</v>
      </c>
      <c r="F92" s="10">
        <f>SUM('Részletes cofogos'!G167:G168)</f>
        <v>40000</v>
      </c>
    </row>
    <row r="93" spans="1:10" ht="21.95" customHeight="1" thickBot="1" x14ac:dyDescent="0.25">
      <c r="A93" s="437" t="s">
        <v>69</v>
      </c>
      <c r="B93" s="427"/>
      <c r="C93" s="44">
        <f>SUM(C91:C92)</f>
        <v>2990000</v>
      </c>
      <c r="D93" s="44">
        <f>SUM(D91:D92)</f>
        <v>0</v>
      </c>
      <c r="E93" s="45">
        <f>SUM(F93/C93*100)</f>
        <v>100</v>
      </c>
      <c r="F93" s="46">
        <f>SUM(F91:F92)</f>
        <v>2990000</v>
      </c>
    </row>
    <row r="94" spans="1:10" ht="21.95" customHeight="1" thickBot="1" x14ac:dyDescent="0.25">
      <c r="A94" s="435" t="s">
        <v>40</v>
      </c>
      <c r="B94" s="436"/>
      <c r="C94" s="153">
        <f>C90+C93</f>
        <v>25650000</v>
      </c>
      <c r="D94" s="23">
        <f>D90+D93</f>
        <v>0</v>
      </c>
      <c r="E94" s="39">
        <f>SUM(F94/C94*100)</f>
        <v>100</v>
      </c>
      <c r="F94" s="23">
        <f t="shared" ref="F94" si="12">F90+F93</f>
        <v>25650000</v>
      </c>
    </row>
    <row r="95" spans="1:10" ht="21.95" customHeight="1" thickBot="1" x14ac:dyDescent="0.25">
      <c r="A95" s="18"/>
      <c r="D95" s="19"/>
      <c r="E95" s="19"/>
      <c r="F95" s="20"/>
    </row>
    <row r="96" spans="1:10" ht="21.95" customHeight="1" thickBot="1" x14ac:dyDescent="0.25">
      <c r="A96" s="15" t="s">
        <v>50</v>
      </c>
      <c r="B96" s="16"/>
      <c r="C96" s="17">
        <f>C22+C39+C65+C79+C94</f>
        <v>115577100</v>
      </c>
      <c r="D96" s="17">
        <f>D22+D39+D65+D79+D94</f>
        <v>6590700</v>
      </c>
      <c r="E96" s="59">
        <f>SUM(F96/C96*100)</f>
        <v>105.70242721092673</v>
      </c>
      <c r="F96" s="17">
        <f>F22+F39+F65+F79+F94</f>
        <v>122167800</v>
      </c>
    </row>
    <row r="100" spans="6:6" x14ac:dyDescent="0.2">
      <c r="F100" s="19"/>
    </row>
  </sheetData>
  <autoFilter ref="A1:A96"/>
  <mergeCells count="43">
    <mergeCell ref="A65:B65"/>
    <mergeCell ref="A64:B64"/>
    <mergeCell ref="B41:B42"/>
    <mergeCell ref="A61:B61"/>
    <mergeCell ref="A44:B44"/>
    <mergeCell ref="A59:B59"/>
    <mergeCell ref="C41:F41"/>
    <mergeCell ref="D1:F1"/>
    <mergeCell ref="A2:F2"/>
    <mergeCell ref="A3:F3"/>
    <mergeCell ref="A5:F5"/>
    <mergeCell ref="B7:B8"/>
    <mergeCell ref="A6:F6"/>
    <mergeCell ref="A7:A8"/>
    <mergeCell ref="C7:F7"/>
    <mergeCell ref="A22:B22"/>
    <mergeCell ref="A24:A25"/>
    <mergeCell ref="B24:B25"/>
    <mergeCell ref="A23:F23"/>
    <mergeCell ref="C24:F24"/>
    <mergeCell ref="A93:B93"/>
    <mergeCell ref="A94:B94"/>
    <mergeCell ref="A78:B78"/>
    <mergeCell ref="A79:B79"/>
    <mergeCell ref="A80:F80"/>
    <mergeCell ref="A81:A82"/>
    <mergeCell ref="B81:B82"/>
    <mergeCell ref="C67:F67"/>
    <mergeCell ref="C81:F81"/>
    <mergeCell ref="H82:I82"/>
    <mergeCell ref="H6:I6"/>
    <mergeCell ref="A90:B90"/>
    <mergeCell ref="A66:F66"/>
    <mergeCell ref="A67:A68"/>
    <mergeCell ref="B67:B68"/>
    <mergeCell ref="A75:B75"/>
    <mergeCell ref="A39:B39"/>
    <mergeCell ref="A40:F40"/>
    <mergeCell ref="A41:A42"/>
    <mergeCell ref="A18:B18"/>
    <mergeCell ref="A21:B21"/>
    <mergeCell ref="A38:B38"/>
    <mergeCell ref="A35:B35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>
    <oddHeader>&amp;LPiliscsévi "Aranykapu" Egységes Óvoda-Bölcsőde&amp;RIV/3.a) számú melléklet</oddHeader>
    <oddFooter>&amp;C&amp;P/&amp;N&amp;R2020.01.hó</oddFooter>
  </headerFooter>
  <rowBreaks count="2" manualBreakCount="2">
    <brk id="39" max="5" man="1"/>
    <brk id="79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topLeftCell="A154" zoomScale="120" zoomScaleNormal="120" workbookViewId="0">
      <selection activeCell="G95" sqref="G95"/>
    </sheetView>
  </sheetViews>
  <sheetFormatPr defaultRowHeight="12.75" x14ac:dyDescent="0.2"/>
  <cols>
    <col min="1" max="1" width="12.5703125" customWidth="1"/>
    <col min="2" max="2" width="14.5703125" bestFit="1" customWidth="1"/>
    <col min="3" max="4" width="10.140625" bestFit="1" customWidth="1"/>
    <col min="5" max="5" width="12.28515625" customWidth="1"/>
    <col min="6" max="6" width="7.28515625" customWidth="1"/>
    <col min="7" max="7" width="12.5703125" customWidth="1"/>
    <col min="8" max="8" width="11.85546875" customWidth="1"/>
    <col min="10" max="10" width="10.7109375" customWidth="1"/>
    <col min="14" max="14" width="9.5703125" bestFit="1" customWidth="1"/>
  </cols>
  <sheetData>
    <row r="1" spans="1:8" ht="13.5" thickBot="1" x14ac:dyDescent="0.25">
      <c r="A1" s="438" t="s">
        <v>41</v>
      </c>
      <c r="B1" s="438"/>
      <c r="C1" s="438"/>
      <c r="D1" s="438"/>
      <c r="E1" s="438"/>
      <c r="F1" s="438"/>
      <c r="G1" s="438"/>
    </row>
    <row r="2" spans="1:8" x14ac:dyDescent="0.2">
      <c r="A2" s="428" t="s">
        <v>103</v>
      </c>
      <c r="B2" s="429"/>
      <c r="C2" s="429"/>
      <c r="D2" s="429"/>
      <c r="E2" s="429"/>
      <c r="F2" s="429"/>
      <c r="G2" s="430"/>
    </row>
    <row r="3" spans="1:8" x14ac:dyDescent="0.2">
      <c r="A3" s="431" t="s">
        <v>0</v>
      </c>
      <c r="B3" s="433" t="s">
        <v>39</v>
      </c>
      <c r="C3" s="489"/>
      <c r="D3" s="490"/>
      <c r="E3" s="490"/>
      <c r="F3" s="491"/>
      <c r="G3" s="13">
        <v>2023</v>
      </c>
    </row>
    <row r="4" spans="1:8" ht="13.5" thickBot="1" x14ac:dyDescent="0.25">
      <c r="A4" s="432"/>
      <c r="B4" s="434"/>
      <c r="C4" s="492"/>
      <c r="D4" s="493"/>
      <c r="E4" s="493"/>
      <c r="F4" s="494"/>
      <c r="G4" s="14" t="s">
        <v>185</v>
      </c>
    </row>
    <row r="5" spans="1:8" x14ac:dyDescent="0.2">
      <c r="A5" s="233" t="s">
        <v>4</v>
      </c>
      <c r="B5" s="453" t="s">
        <v>21</v>
      </c>
      <c r="C5" s="454"/>
      <c r="D5" s="455"/>
      <c r="E5" s="234"/>
      <c r="F5" s="235"/>
      <c r="G5" s="236">
        <v>23350000</v>
      </c>
      <c r="H5" s="19">
        <f>SUM(G6:G16)</f>
        <v>23319706</v>
      </c>
    </row>
    <row r="6" spans="1:8" x14ac:dyDescent="0.2">
      <c r="A6" s="5"/>
      <c r="B6" s="447" t="s">
        <v>139</v>
      </c>
      <c r="C6" s="448"/>
      <c r="D6" s="449"/>
      <c r="E6" s="7">
        <v>367898</v>
      </c>
      <c r="F6" s="260">
        <v>1</v>
      </c>
      <c r="G6" s="10">
        <f t="shared" ref="G6:G11" si="0">SUM(E6*F6)</f>
        <v>367898</v>
      </c>
    </row>
    <row r="7" spans="1:8" x14ac:dyDescent="0.2">
      <c r="A7" s="5"/>
      <c r="B7" s="447" t="s">
        <v>139</v>
      </c>
      <c r="C7" s="448"/>
      <c r="D7" s="449"/>
      <c r="E7" s="7">
        <v>441248</v>
      </c>
      <c r="F7" s="260">
        <v>11</v>
      </c>
      <c r="G7" s="10">
        <f t="shared" si="0"/>
        <v>4853728</v>
      </c>
    </row>
    <row r="8" spans="1:8" x14ac:dyDescent="0.2">
      <c r="A8" s="5"/>
      <c r="B8" s="447" t="s">
        <v>179</v>
      </c>
      <c r="C8" s="448"/>
      <c r="D8" s="449"/>
      <c r="E8" s="158">
        <v>286000</v>
      </c>
      <c r="F8" s="260">
        <v>1</v>
      </c>
      <c r="G8" s="10">
        <f t="shared" si="0"/>
        <v>286000</v>
      </c>
    </row>
    <row r="9" spans="1:8" x14ac:dyDescent="0.2">
      <c r="A9" s="5"/>
      <c r="B9" s="447" t="s">
        <v>179</v>
      </c>
      <c r="C9" s="448"/>
      <c r="D9" s="449"/>
      <c r="E9" s="158">
        <v>326040</v>
      </c>
      <c r="F9" s="260">
        <v>11</v>
      </c>
      <c r="G9" s="10">
        <f t="shared" si="0"/>
        <v>3586440</v>
      </c>
    </row>
    <row r="10" spans="1:8" x14ac:dyDescent="0.2">
      <c r="A10" s="5"/>
      <c r="B10" s="447" t="s">
        <v>180</v>
      </c>
      <c r="C10" s="448"/>
      <c r="D10" s="449"/>
      <c r="E10" s="158">
        <v>286000</v>
      </c>
      <c r="F10" s="260">
        <v>1</v>
      </c>
      <c r="G10" s="10">
        <f t="shared" si="0"/>
        <v>286000</v>
      </c>
    </row>
    <row r="11" spans="1:8" x14ac:dyDescent="0.2">
      <c r="A11" s="5"/>
      <c r="B11" s="447" t="s">
        <v>180</v>
      </c>
      <c r="C11" s="448"/>
      <c r="D11" s="449"/>
      <c r="E11" s="158">
        <v>326040</v>
      </c>
      <c r="F11" s="260">
        <v>11</v>
      </c>
      <c r="G11" s="10">
        <f t="shared" si="0"/>
        <v>3586440</v>
      </c>
    </row>
    <row r="12" spans="1:8" x14ac:dyDescent="0.2">
      <c r="A12" s="5"/>
      <c r="B12" s="447" t="s">
        <v>151</v>
      </c>
      <c r="C12" s="448"/>
      <c r="D12" s="449"/>
      <c r="E12" s="158">
        <v>286000</v>
      </c>
      <c r="F12" s="260">
        <v>1</v>
      </c>
      <c r="G12" s="10">
        <f>SUM(E12*F12)</f>
        <v>286000</v>
      </c>
      <c r="H12" s="19"/>
    </row>
    <row r="13" spans="1:8" ht="12.75" customHeight="1" x14ac:dyDescent="0.2">
      <c r="A13" s="5"/>
      <c r="B13" s="447" t="s">
        <v>151</v>
      </c>
      <c r="C13" s="448"/>
      <c r="D13" s="449"/>
      <c r="E13" s="158">
        <v>326040</v>
      </c>
      <c r="F13" s="260">
        <v>11</v>
      </c>
      <c r="G13" s="10">
        <f t="shared" ref="G13:G16" si="1">SUM(E13*F13)</f>
        <v>3586440</v>
      </c>
      <c r="H13" s="19"/>
    </row>
    <row r="14" spans="1:8" x14ac:dyDescent="0.2">
      <c r="A14" s="5"/>
      <c r="B14" s="447" t="s">
        <v>182</v>
      </c>
      <c r="C14" s="448"/>
      <c r="D14" s="449"/>
      <c r="E14" s="289">
        <v>326040</v>
      </c>
      <c r="F14" s="260">
        <v>8</v>
      </c>
      <c r="G14" s="10">
        <f t="shared" si="1"/>
        <v>2608320</v>
      </c>
      <c r="H14" s="19"/>
    </row>
    <row r="15" spans="1:8" x14ac:dyDescent="0.2">
      <c r="A15" s="5"/>
      <c r="B15" s="447" t="s">
        <v>152</v>
      </c>
      <c r="C15" s="448"/>
      <c r="D15" s="449"/>
      <c r="E15" s="289">
        <v>286000</v>
      </c>
      <c r="F15" s="38">
        <v>1</v>
      </c>
      <c r="G15" s="10">
        <f t="shared" si="1"/>
        <v>286000</v>
      </c>
      <c r="H15" s="19"/>
    </row>
    <row r="16" spans="1:8" ht="12.75" customHeight="1" x14ac:dyDescent="0.2">
      <c r="A16" s="5"/>
      <c r="B16" s="447" t="s">
        <v>152</v>
      </c>
      <c r="C16" s="448"/>
      <c r="D16" s="449"/>
      <c r="E16" s="289">
        <v>326040</v>
      </c>
      <c r="F16" s="38">
        <v>11</v>
      </c>
      <c r="G16" s="10">
        <f t="shared" si="1"/>
        <v>3586440</v>
      </c>
      <c r="H16" s="19"/>
    </row>
    <row r="17" spans="1:14" ht="12.75" customHeight="1" x14ac:dyDescent="0.2">
      <c r="A17" s="259" t="s">
        <v>115</v>
      </c>
      <c r="B17" s="450" t="s">
        <v>114</v>
      </c>
      <c r="C17" s="451"/>
      <c r="D17" s="452"/>
      <c r="E17" s="234"/>
      <c r="F17" s="235"/>
      <c r="G17" s="236"/>
    </row>
    <row r="18" spans="1:14" ht="23.25" customHeight="1" x14ac:dyDescent="0.2">
      <c r="A18" s="259" t="s">
        <v>172</v>
      </c>
      <c r="B18" s="450" t="s">
        <v>173</v>
      </c>
      <c r="C18" s="451"/>
      <c r="D18" s="452"/>
      <c r="E18" s="234"/>
      <c r="F18" s="235"/>
      <c r="G18" s="236">
        <v>0</v>
      </c>
    </row>
    <row r="19" spans="1:14" ht="12.75" customHeight="1" x14ac:dyDescent="0.2">
      <c r="A19" s="242" t="s">
        <v>67</v>
      </c>
      <c r="B19" s="450" t="s">
        <v>68</v>
      </c>
      <c r="C19" s="451"/>
      <c r="D19" s="452"/>
      <c r="E19" s="234"/>
      <c r="F19" s="235"/>
      <c r="G19" s="241">
        <v>350000</v>
      </c>
      <c r="H19" t="s">
        <v>169</v>
      </c>
    </row>
    <row r="20" spans="1:14" x14ac:dyDescent="0.2">
      <c r="A20" s="242" t="s">
        <v>5</v>
      </c>
      <c r="B20" s="450" t="s">
        <v>22</v>
      </c>
      <c r="C20" s="451"/>
      <c r="D20" s="452"/>
      <c r="E20" s="234"/>
      <c r="F20" s="235"/>
      <c r="G20" s="241">
        <v>250000</v>
      </c>
      <c r="J20" s="223"/>
      <c r="N20" s="223"/>
    </row>
    <row r="21" spans="1:14" x14ac:dyDescent="0.2">
      <c r="A21" s="240" t="s">
        <v>6</v>
      </c>
      <c r="B21" s="450" t="s">
        <v>23</v>
      </c>
      <c r="C21" s="451"/>
      <c r="D21" s="452"/>
      <c r="E21" s="234"/>
      <c r="F21" s="235"/>
      <c r="G21" s="241">
        <f>SUM(G22)</f>
        <v>0</v>
      </c>
      <c r="N21" s="223"/>
    </row>
    <row r="22" spans="1:14" x14ac:dyDescent="0.2">
      <c r="A22" s="5"/>
      <c r="B22" s="447"/>
      <c r="C22" s="448"/>
      <c r="D22" s="449"/>
      <c r="E22" s="7"/>
      <c r="F22" s="260"/>
      <c r="G22" s="10"/>
      <c r="N22" s="223"/>
    </row>
    <row r="23" spans="1:14" ht="21.75" customHeight="1" x14ac:dyDescent="0.2">
      <c r="A23" s="240" t="s">
        <v>7</v>
      </c>
      <c r="B23" s="450" t="s">
        <v>24</v>
      </c>
      <c r="C23" s="451"/>
      <c r="D23" s="452"/>
      <c r="E23" s="234"/>
      <c r="F23" s="235"/>
      <c r="G23" s="241">
        <f>SUM(G24:G26)</f>
        <v>800000</v>
      </c>
    </row>
    <row r="24" spans="1:14" x14ac:dyDescent="0.2">
      <c r="A24" s="1"/>
      <c r="B24" s="447" t="s">
        <v>146</v>
      </c>
      <c r="C24" s="448"/>
      <c r="D24" s="449"/>
      <c r="E24" s="36">
        <v>60000</v>
      </c>
      <c r="F24" s="38">
        <v>5</v>
      </c>
      <c r="G24" s="8">
        <f>SUM(E24*F24)</f>
        <v>300000</v>
      </c>
    </row>
    <row r="25" spans="1:14" x14ac:dyDescent="0.2">
      <c r="A25" s="1"/>
      <c r="B25" s="447" t="s">
        <v>153</v>
      </c>
      <c r="C25" s="448"/>
      <c r="D25" s="449"/>
      <c r="E25" s="36">
        <v>12000</v>
      </c>
      <c r="F25" s="38">
        <v>5</v>
      </c>
      <c r="G25" s="8">
        <f>SUM(E25*F25)</f>
        <v>60000</v>
      </c>
    </row>
    <row r="26" spans="1:14" x14ac:dyDescent="0.2">
      <c r="A26" s="1"/>
      <c r="B26" s="447" t="s">
        <v>147</v>
      </c>
      <c r="C26" s="448"/>
      <c r="D26" s="449"/>
      <c r="E26" s="36"/>
      <c r="F26" s="38"/>
      <c r="G26" s="8">
        <v>440000</v>
      </c>
    </row>
    <row r="27" spans="1:14" ht="38.25" customHeight="1" x14ac:dyDescent="0.2">
      <c r="A27" s="242" t="s">
        <v>8</v>
      </c>
      <c r="B27" s="495" t="s">
        <v>25</v>
      </c>
      <c r="C27" s="496"/>
      <c r="D27" s="497"/>
      <c r="E27" s="243"/>
      <c r="F27" s="235"/>
      <c r="G27" s="241">
        <f>SUM(G28:G30)</f>
        <v>3550000</v>
      </c>
    </row>
    <row r="28" spans="1:14" x14ac:dyDescent="0.2">
      <c r="A28" s="5"/>
      <c r="B28" s="447" t="s">
        <v>177</v>
      </c>
      <c r="C28" s="448"/>
      <c r="D28" s="449"/>
      <c r="E28" s="158">
        <v>60000</v>
      </c>
      <c r="F28" s="260">
        <v>10</v>
      </c>
      <c r="G28" s="10">
        <f>SUM(E28*F28)</f>
        <v>600000</v>
      </c>
    </row>
    <row r="29" spans="1:14" x14ac:dyDescent="0.2">
      <c r="A29" s="340"/>
      <c r="B29" s="447" t="s">
        <v>181</v>
      </c>
      <c r="C29" s="448"/>
      <c r="D29" s="449"/>
      <c r="E29" s="174">
        <v>200000</v>
      </c>
      <c r="F29" s="260">
        <v>1</v>
      </c>
      <c r="G29" s="10">
        <f>SUM(E29*F29)</f>
        <v>200000</v>
      </c>
    </row>
    <row r="30" spans="1:14" x14ac:dyDescent="0.2">
      <c r="A30" s="1"/>
      <c r="B30" s="447" t="s">
        <v>181</v>
      </c>
      <c r="C30" s="448"/>
      <c r="D30" s="449"/>
      <c r="E30" s="174">
        <v>250000</v>
      </c>
      <c r="F30" s="232">
        <v>11</v>
      </c>
      <c r="G30" s="10">
        <f>SUM(E30*F30)</f>
        <v>2750000</v>
      </c>
    </row>
    <row r="31" spans="1:14" ht="24.75" customHeight="1" thickBot="1" x14ac:dyDescent="0.25">
      <c r="A31" s="252" t="s">
        <v>120</v>
      </c>
      <c r="B31" s="498" t="s">
        <v>121</v>
      </c>
      <c r="C31" s="499"/>
      <c r="D31" s="500"/>
      <c r="E31" s="253"/>
      <c r="F31" s="254"/>
      <c r="G31" s="255">
        <v>150000</v>
      </c>
    </row>
    <row r="32" spans="1:14" ht="13.5" thickBot="1" x14ac:dyDescent="0.25">
      <c r="A32" s="426" t="s">
        <v>35</v>
      </c>
      <c r="B32" s="427"/>
      <c r="C32" s="185"/>
      <c r="D32" s="186"/>
      <c r="E32" s="173"/>
      <c r="F32" s="45"/>
      <c r="G32" s="46">
        <f>SUM(G5,G23,G27,G31,G17,G20,G19,G21,G18)</f>
        <v>28450000</v>
      </c>
    </row>
    <row r="33" spans="1:8" x14ac:dyDescent="0.2">
      <c r="A33" s="256" t="s">
        <v>9</v>
      </c>
      <c r="B33" s="459" t="s">
        <v>26</v>
      </c>
      <c r="C33" s="460"/>
      <c r="D33" s="461"/>
      <c r="E33" s="234"/>
      <c r="F33" s="283"/>
      <c r="G33" s="236"/>
    </row>
    <row r="34" spans="1:8" x14ac:dyDescent="0.2">
      <c r="A34" s="256" t="s">
        <v>9</v>
      </c>
      <c r="B34" s="459" t="s">
        <v>26</v>
      </c>
      <c r="C34" s="460"/>
      <c r="D34" s="461"/>
      <c r="E34" s="234">
        <f>SUM((G32-(G6+G8+G10+G12+G15))*F34)</f>
        <v>3501953.2600000002</v>
      </c>
      <c r="F34" s="283">
        <v>0.13</v>
      </c>
      <c r="G34" s="236">
        <v>3510000</v>
      </c>
    </row>
    <row r="35" spans="1:8" x14ac:dyDescent="0.2">
      <c r="A35" s="264" t="s">
        <v>171</v>
      </c>
      <c r="B35" s="450" t="s">
        <v>27</v>
      </c>
      <c r="C35" s="451"/>
      <c r="D35" s="452"/>
      <c r="E35" s="247">
        <f>SUM((G31+G19)*F35)</f>
        <v>75000</v>
      </c>
      <c r="F35" s="283">
        <v>0.15</v>
      </c>
      <c r="G35" s="301">
        <v>75000</v>
      </c>
    </row>
    <row r="36" spans="1:8" ht="13.5" thickBot="1" x14ac:dyDescent="0.25">
      <c r="A36" s="264" t="s">
        <v>10</v>
      </c>
      <c r="B36" s="462" t="s">
        <v>27</v>
      </c>
      <c r="C36" s="463"/>
      <c r="D36" s="464"/>
      <c r="E36" s="271"/>
      <c r="F36" s="235"/>
      <c r="G36" s="258"/>
    </row>
    <row r="37" spans="1:8" ht="13.5" thickBot="1" x14ac:dyDescent="0.25">
      <c r="A37" s="437" t="s">
        <v>69</v>
      </c>
      <c r="B37" s="427"/>
      <c r="C37" s="173"/>
      <c r="D37" s="187"/>
      <c r="E37" s="186"/>
      <c r="F37" s="45"/>
      <c r="G37" s="46">
        <f>SUM(G33:G36)</f>
        <v>3585000</v>
      </c>
    </row>
    <row r="38" spans="1:8" ht="13.5" thickBot="1" x14ac:dyDescent="0.25">
      <c r="A38" s="435" t="s">
        <v>40</v>
      </c>
      <c r="B38" s="436"/>
      <c r="C38" s="153"/>
      <c r="D38" s="153"/>
      <c r="E38" s="153"/>
      <c r="F38" s="39"/>
      <c r="G38" s="23">
        <f>G32+G37</f>
        <v>32035000</v>
      </c>
    </row>
    <row r="39" spans="1:8" ht="13.5" thickBot="1" x14ac:dyDescent="0.25">
      <c r="A39" s="485" t="s">
        <v>104</v>
      </c>
      <c r="B39" s="486"/>
      <c r="C39" s="486"/>
      <c r="D39" s="486"/>
      <c r="E39" s="486"/>
      <c r="F39" s="486"/>
      <c r="G39" s="487"/>
    </row>
    <row r="40" spans="1:8" x14ac:dyDescent="0.2">
      <c r="A40" s="439" t="s">
        <v>0</v>
      </c>
      <c r="B40" s="440" t="s">
        <v>39</v>
      </c>
      <c r="C40" s="440"/>
      <c r="D40" s="440"/>
      <c r="E40" s="440"/>
      <c r="F40" s="440"/>
      <c r="G40" s="13">
        <v>2023</v>
      </c>
    </row>
    <row r="41" spans="1:8" ht="13.5" thickBot="1" x14ac:dyDescent="0.25">
      <c r="A41" s="431"/>
      <c r="B41" s="433"/>
      <c r="C41" s="433"/>
      <c r="D41" s="433"/>
      <c r="E41" s="433"/>
      <c r="F41" s="433"/>
      <c r="G41" s="14" t="s">
        <v>185</v>
      </c>
    </row>
    <row r="42" spans="1:8" x14ac:dyDescent="0.2">
      <c r="A42" s="240" t="s">
        <v>4</v>
      </c>
      <c r="B42" s="477" t="s">
        <v>21</v>
      </c>
      <c r="C42" s="477"/>
      <c r="D42" s="477"/>
      <c r="E42" s="468"/>
      <c r="F42" s="469"/>
      <c r="G42" s="241">
        <v>28450000</v>
      </c>
      <c r="H42" s="19">
        <f>SUM(G43:G52)</f>
        <v>28421512</v>
      </c>
    </row>
    <row r="43" spans="1:8" x14ac:dyDescent="0.2">
      <c r="A43" s="1"/>
      <c r="B43" s="488" t="s">
        <v>145</v>
      </c>
      <c r="C43" s="488"/>
      <c r="D43" s="488"/>
      <c r="E43" s="7">
        <v>447260</v>
      </c>
      <c r="F43" s="47">
        <v>1</v>
      </c>
      <c r="G43" s="8">
        <f>SUM(E43*F43)</f>
        <v>447260</v>
      </c>
    </row>
    <row r="44" spans="1:8" x14ac:dyDescent="0.2">
      <c r="A44" s="1"/>
      <c r="B44" s="488" t="s">
        <v>145</v>
      </c>
      <c r="C44" s="488"/>
      <c r="D44" s="488"/>
      <c r="E44" s="7">
        <v>526508</v>
      </c>
      <c r="F44" s="47">
        <v>11</v>
      </c>
      <c r="G44" s="8">
        <f t="shared" ref="G44:G52" si="2">SUM(E44*F44)</f>
        <v>5791588</v>
      </c>
    </row>
    <row r="45" spans="1:8" x14ac:dyDescent="0.2">
      <c r="A45" s="1"/>
      <c r="B45" s="488" t="s">
        <v>144</v>
      </c>
      <c r="C45" s="488"/>
      <c r="D45" s="488"/>
      <c r="E45" s="7">
        <v>603581</v>
      </c>
      <c r="F45" s="47">
        <v>1</v>
      </c>
      <c r="G45" s="8">
        <f t="shared" si="2"/>
        <v>603581</v>
      </c>
    </row>
    <row r="46" spans="1:8" x14ac:dyDescent="0.2">
      <c r="A46" s="1"/>
      <c r="B46" s="488" t="s">
        <v>144</v>
      </c>
      <c r="C46" s="488"/>
      <c r="D46" s="488"/>
      <c r="E46" s="7">
        <v>662667</v>
      </c>
      <c r="F46" s="47">
        <v>11</v>
      </c>
      <c r="G46" s="8">
        <f t="shared" si="2"/>
        <v>7289337</v>
      </c>
      <c r="H46" s="19"/>
    </row>
    <row r="47" spans="1:8" x14ac:dyDescent="0.2">
      <c r="A47" s="1"/>
      <c r="B47" s="341" t="s">
        <v>183</v>
      </c>
      <c r="C47" s="341"/>
      <c r="D47" s="341"/>
      <c r="E47" s="7">
        <v>464328</v>
      </c>
      <c r="F47" s="47">
        <v>4</v>
      </c>
      <c r="G47" s="8">
        <f t="shared" si="2"/>
        <v>1857312</v>
      </c>
      <c r="H47" s="19"/>
    </row>
    <row r="48" spans="1:8" x14ac:dyDescent="0.2">
      <c r="A48" s="1"/>
      <c r="B48" s="341" t="s">
        <v>184</v>
      </c>
      <c r="C48" s="341"/>
      <c r="D48" s="341"/>
      <c r="E48" s="7">
        <v>464328</v>
      </c>
      <c r="F48" s="47">
        <v>4</v>
      </c>
      <c r="G48" s="8"/>
      <c r="H48" s="19"/>
    </row>
    <row r="49" spans="1:8" x14ac:dyDescent="0.2">
      <c r="A49" s="1"/>
      <c r="B49" s="488" t="s">
        <v>141</v>
      </c>
      <c r="C49" s="488"/>
      <c r="D49" s="488"/>
      <c r="E49" s="7">
        <v>440978</v>
      </c>
      <c r="F49" s="47">
        <v>1</v>
      </c>
      <c r="G49" s="8">
        <f t="shared" si="2"/>
        <v>440978</v>
      </c>
      <c r="H49" s="19"/>
    </row>
    <row r="50" spans="1:8" x14ac:dyDescent="0.2">
      <c r="A50" s="1"/>
      <c r="B50" s="488" t="s">
        <v>141</v>
      </c>
      <c r="C50" s="488"/>
      <c r="D50" s="488"/>
      <c r="E50" s="7">
        <v>514328</v>
      </c>
      <c r="F50" s="47">
        <v>11</v>
      </c>
      <c r="G50" s="8">
        <f t="shared" si="2"/>
        <v>5657608</v>
      </c>
      <c r="H50" s="19"/>
    </row>
    <row r="51" spans="1:8" x14ac:dyDescent="0.2">
      <c r="A51" s="1"/>
      <c r="B51" s="447" t="s">
        <v>148</v>
      </c>
      <c r="C51" s="448"/>
      <c r="D51" s="449"/>
      <c r="E51" s="7">
        <v>489636</v>
      </c>
      <c r="F51" s="47">
        <v>1</v>
      </c>
      <c r="G51" s="8">
        <f t="shared" si="2"/>
        <v>489636</v>
      </c>
      <c r="H51" s="19"/>
    </row>
    <row r="52" spans="1:8" x14ac:dyDescent="0.2">
      <c r="A52" s="1"/>
      <c r="B52" s="447" t="s">
        <v>148</v>
      </c>
      <c r="C52" s="448"/>
      <c r="D52" s="449"/>
      <c r="E52" s="7">
        <v>531292</v>
      </c>
      <c r="F52" s="232">
        <v>11</v>
      </c>
      <c r="G52" s="8">
        <f t="shared" si="2"/>
        <v>5844212</v>
      </c>
      <c r="H52" s="19"/>
    </row>
    <row r="53" spans="1:8" x14ac:dyDescent="0.2">
      <c r="A53" s="242" t="s">
        <v>113</v>
      </c>
      <c r="B53" s="477" t="s">
        <v>114</v>
      </c>
      <c r="C53" s="477"/>
      <c r="D53" s="477"/>
      <c r="E53" s="468"/>
      <c r="F53" s="469"/>
      <c r="G53" s="241"/>
    </row>
    <row r="54" spans="1:8" x14ac:dyDescent="0.2">
      <c r="A54" s="242" t="s">
        <v>106</v>
      </c>
      <c r="B54" s="477" t="s">
        <v>105</v>
      </c>
      <c r="C54" s="477"/>
      <c r="D54" s="477"/>
      <c r="E54" s="468"/>
      <c r="F54" s="469"/>
      <c r="G54" s="241"/>
    </row>
    <row r="55" spans="1:8" x14ac:dyDescent="0.2">
      <c r="A55" s="242" t="s">
        <v>67</v>
      </c>
      <c r="B55" s="477" t="s">
        <v>68</v>
      </c>
      <c r="C55" s="477"/>
      <c r="D55" s="477"/>
      <c r="E55" s="468"/>
      <c r="F55" s="469"/>
      <c r="G55" s="241">
        <v>480000</v>
      </c>
      <c r="H55" t="s">
        <v>169</v>
      </c>
    </row>
    <row r="56" spans="1:8" x14ac:dyDescent="0.2">
      <c r="A56" s="242" t="s">
        <v>5</v>
      </c>
      <c r="B56" s="477" t="s">
        <v>22</v>
      </c>
      <c r="C56" s="477"/>
      <c r="D56" s="477"/>
      <c r="E56" s="468"/>
      <c r="F56" s="469"/>
      <c r="G56" s="241"/>
    </row>
    <row r="57" spans="1:8" x14ac:dyDescent="0.2">
      <c r="A57" s="240" t="s">
        <v>6</v>
      </c>
      <c r="B57" s="477" t="s">
        <v>23</v>
      </c>
      <c r="C57" s="477"/>
      <c r="D57" s="477"/>
      <c r="E57" s="468"/>
      <c r="F57" s="469"/>
      <c r="G57" s="241">
        <f>SUM(G58)</f>
        <v>0</v>
      </c>
    </row>
    <row r="58" spans="1:8" x14ac:dyDescent="0.2">
      <c r="A58" s="1"/>
      <c r="B58" s="447"/>
      <c r="C58" s="448"/>
      <c r="D58" s="449"/>
      <c r="E58" s="7"/>
      <c r="F58" s="47"/>
      <c r="G58" s="8"/>
    </row>
    <row r="59" spans="1:8" ht="25.5" customHeight="1" x14ac:dyDescent="0.2">
      <c r="A59" s="240" t="s">
        <v>7</v>
      </c>
      <c r="B59" s="477" t="s">
        <v>24</v>
      </c>
      <c r="C59" s="477"/>
      <c r="D59" s="477"/>
      <c r="E59" s="468"/>
      <c r="F59" s="469"/>
      <c r="G59" s="241">
        <f>SUM(G60:G62)</f>
        <v>1400000</v>
      </c>
    </row>
    <row r="60" spans="1:8" x14ac:dyDescent="0.2">
      <c r="A60" s="1"/>
      <c r="B60" s="447" t="s">
        <v>146</v>
      </c>
      <c r="C60" s="448"/>
      <c r="D60" s="449"/>
      <c r="E60" s="7">
        <v>60000</v>
      </c>
      <c r="F60" s="47">
        <v>4</v>
      </c>
      <c r="G60" s="8">
        <f>SUM(E60*F60)</f>
        <v>240000</v>
      </c>
    </row>
    <row r="61" spans="1:8" x14ac:dyDescent="0.2">
      <c r="A61" s="1"/>
      <c r="B61" s="447" t="s">
        <v>153</v>
      </c>
      <c r="C61" s="448"/>
      <c r="D61" s="449"/>
      <c r="E61" s="7">
        <v>12000</v>
      </c>
      <c r="F61" s="47">
        <v>4</v>
      </c>
      <c r="G61" s="8">
        <f>SUM(E61*F61)</f>
        <v>48000</v>
      </c>
    </row>
    <row r="62" spans="1:8" x14ac:dyDescent="0.2">
      <c r="A62" s="1"/>
      <c r="B62" s="447" t="s">
        <v>147</v>
      </c>
      <c r="C62" s="448"/>
      <c r="D62" s="449"/>
      <c r="E62" s="7"/>
      <c r="F62" s="47"/>
      <c r="G62" s="8">
        <v>1112000</v>
      </c>
    </row>
    <row r="63" spans="1:8" ht="34.5" customHeight="1" x14ac:dyDescent="0.2">
      <c r="A63" s="242" t="s">
        <v>8</v>
      </c>
      <c r="B63" s="467" t="s">
        <v>25</v>
      </c>
      <c r="C63" s="467"/>
      <c r="D63" s="467"/>
      <c r="E63" s="468"/>
      <c r="F63" s="469"/>
      <c r="G63" s="241">
        <f>SUM(G64)</f>
        <v>0</v>
      </c>
    </row>
    <row r="64" spans="1:8" x14ac:dyDescent="0.2">
      <c r="A64" s="37"/>
      <c r="B64" s="480"/>
      <c r="C64" s="480"/>
      <c r="D64" s="480"/>
      <c r="E64" s="7"/>
      <c r="F64" s="47"/>
      <c r="G64" s="8"/>
    </row>
    <row r="65" spans="1:10" ht="24" customHeight="1" thickBot="1" x14ac:dyDescent="0.25">
      <c r="A65" s="249" t="s">
        <v>120</v>
      </c>
      <c r="B65" s="481" t="s">
        <v>121</v>
      </c>
      <c r="C65" s="481"/>
      <c r="D65" s="481"/>
      <c r="E65" s="475"/>
      <c r="F65" s="476"/>
      <c r="G65" s="251"/>
    </row>
    <row r="66" spans="1:10" ht="13.5" thickBot="1" x14ac:dyDescent="0.25">
      <c r="A66" s="478" t="s">
        <v>35</v>
      </c>
      <c r="B66" s="479"/>
      <c r="C66" s="244"/>
      <c r="D66" s="244"/>
      <c r="E66" s="244"/>
      <c r="F66" s="245"/>
      <c r="G66" s="246">
        <f>SUM(G42,G53,G54,G55,G56,G57,G59,G63,G65)</f>
        <v>30330000</v>
      </c>
    </row>
    <row r="67" spans="1:10" x14ac:dyDescent="0.2">
      <c r="A67" s="259" t="s">
        <v>9</v>
      </c>
      <c r="B67" s="450" t="s">
        <v>26</v>
      </c>
      <c r="C67" s="451"/>
      <c r="D67" s="452"/>
      <c r="E67" s="284"/>
      <c r="F67" s="285"/>
      <c r="G67" s="236"/>
    </row>
    <row r="68" spans="1:10" x14ac:dyDescent="0.2">
      <c r="A68" s="259" t="s">
        <v>9</v>
      </c>
      <c r="B68" s="450" t="s">
        <v>26</v>
      </c>
      <c r="C68" s="451"/>
      <c r="D68" s="452"/>
      <c r="E68" s="262">
        <f>SUM(G66*F68)</f>
        <v>3942900</v>
      </c>
      <c r="F68" s="305">
        <v>0.13</v>
      </c>
      <c r="G68" s="236">
        <v>3950000</v>
      </c>
    </row>
    <row r="69" spans="1:10" x14ac:dyDescent="0.2">
      <c r="A69" s="257" t="s">
        <v>10</v>
      </c>
      <c r="B69" s="450" t="s">
        <v>27</v>
      </c>
      <c r="C69" s="451"/>
      <c r="D69" s="452"/>
      <c r="E69" s="303">
        <f>SUM(G55*F69)</f>
        <v>72000</v>
      </c>
      <c r="F69" s="304">
        <v>0.15</v>
      </c>
      <c r="G69" s="236">
        <v>75000</v>
      </c>
    </row>
    <row r="70" spans="1:10" ht="13.5" thickBot="1" x14ac:dyDescent="0.25">
      <c r="A70" s="257" t="s">
        <v>10</v>
      </c>
      <c r="B70" s="462" t="s">
        <v>27</v>
      </c>
      <c r="C70" s="463"/>
      <c r="D70" s="464"/>
      <c r="E70" s="475"/>
      <c r="F70" s="476"/>
      <c r="G70" s="258"/>
    </row>
    <row r="71" spans="1:10" ht="13.5" thickBot="1" x14ac:dyDescent="0.25">
      <c r="A71" s="437" t="s">
        <v>69</v>
      </c>
      <c r="B71" s="427"/>
      <c r="C71" s="44"/>
      <c r="D71" s="44"/>
      <c r="E71" s="44"/>
      <c r="F71" s="154"/>
      <c r="G71" s="155">
        <f>SUM(G67:G70)</f>
        <v>4025000</v>
      </c>
    </row>
    <row r="72" spans="1:10" ht="13.5" thickBot="1" x14ac:dyDescent="0.25">
      <c r="A72" s="435" t="s">
        <v>40</v>
      </c>
      <c r="B72" s="436"/>
      <c r="C72" s="153"/>
      <c r="D72" s="153"/>
      <c r="E72" s="23"/>
      <c r="F72" s="39"/>
      <c r="G72" s="23">
        <f>G66+G71</f>
        <v>34355000</v>
      </c>
    </row>
    <row r="73" spans="1:10" x14ac:dyDescent="0.2">
      <c r="A73" s="428" t="s">
        <v>107</v>
      </c>
      <c r="B73" s="429"/>
      <c r="C73" s="429"/>
      <c r="D73" s="429"/>
      <c r="E73" s="429"/>
      <c r="F73" s="429"/>
      <c r="G73" s="430"/>
    </row>
    <row r="74" spans="1:10" x14ac:dyDescent="0.2">
      <c r="A74" s="431" t="s">
        <v>0</v>
      </c>
      <c r="B74" s="433" t="s">
        <v>39</v>
      </c>
      <c r="C74" s="489"/>
      <c r="D74" s="490"/>
      <c r="E74" s="490"/>
      <c r="F74" s="491"/>
      <c r="G74" s="13">
        <v>2023</v>
      </c>
    </row>
    <row r="75" spans="1:10" ht="13.5" thickBot="1" x14ac:dyDescent="0.25">
      <c r="A75" s="432"/>
      <c r="B75" s="434"/>
      <c r="C75" s="492"/>
      <c r="D75" s="493"/>
      <c r="E75" s="493"/>
      <c r="F75" s="494"/>
      <c r="G75" s="14" t="s">
        <v>185</v>
      </c>
    </row>
    <row r="76" spans="1:10" ht="13.5" thickBot="1" x14ac:dyDescent="0.25">
      <c r="A76" s="270" t="s">
        <v>9</v>
      </c>
      <c r="B76" s="470" t="s">
        <v>26</v>
      </c>
      <c r="C76" s="471"/>
      <c r="D76" s="472"/>
      <c r="E76" s="280"/>
      <c r="F76" s="281"/>
      <c r="G76" s="241">
        <v>20000</v>
      </c>
    </row>
    <row r="77" spans="1:10" x14ac:dyDescent="0.2">
      <c r="A77" s="437" t="s">
        <v>69</v>
      </c>
      <c r="B77" s="427"/>
      <c r="C77" s="44">
        <f>SUM(C76)</f>
        <v>0</v>
      </c>
      <c r="D77" s="44">
        <f t="shared" ref="D77:E77" si="3">SUM(D76)</f>
        <v>0</v>
      </c>
      <c r="E77" s="44">
        <f t="shared" si="3"/>
        <v>0</v>
      </c>
      <c r="F77" s="154">
        <v>0</v>
      </c>
      <c r="G77" s="155">
        <f>SUM(G76)</f>
        <v>20000</v>
      </c>
    </row>
    <row r="78" spans="1:10" x14ac:dyDescent="0.2">
      <c r="A78" s="233" t="s">
        <v>11</v>
      </c>
      <c r="B78" s="453" t="s">
        <v>28</v>
      </c>
      <c r="C78" s="454"/>
      <c r="D78" s="455"/>
      <c r="E78" s="473"/>
      <c r="F78" s="474"/>
      <c r="G78" s="241">
        <f>SUM(G79:G80)</f>
        <v>110000</v>
      </c>
    </row>
    <row r="79" spans="1:10" x14ac:dyDescent="0.2">
      <c r="A79" s="5"/>
      <c r="B79" s="447" t="s">
        <v>159</v>
      </c>
      <c r="C79" s="448"/>
      <c r="D79" s="449"/>
      <c r="E79" s="7">
        <v>2000</v>
      </c>
      <c r="F79" s="47">
        <v>4</v>
      </c>
      <c r="G79" s="8">
        <f>SUM(E79*F79)</f>
        <v>8000</v>
      </c>
      <c r="I79" s="282">
        <v>0.05</v>
      </c>
      <c r="J79" s="19">
        <f>SUM(G79*I79)</f>
        <v>400</v>
      </c>
    </row>
    <row r="80" spans="1:10" x14ac:dyDescent="0.2">
      <c r="A80" s="5"/>
      <c r="B80" s="447" t="s">
        <v>161</v>
      </c>
      <c r="C80" s="448"/>
      <c r="D80" s="449"/>
      <c r="E80" s="465">
        <v>102000</v>
      </c>
      <c r="F80" s="466"/>
      <c r="G80" s="8">
        <f>SUM(E80)</f>
        <v>102000</v>
      </c>
      <c r="I80" s="282">
        <v>0.05</v>
      </c>
      <c r="J80" s="19">
        <f t="shared" ref="J80:J106" si="4">SUM(G80*I80)</f>
        <v>5100</v>
      </c>
    </row>
    <row r="81" spans="1:10" x14ac:dyDescent="0.2">
      <c r="A81" s="240" t="s">
        <v>12</v>
      </c>
      <c r="B81" s="450" t="s">
        <v>29</v>
      </c>
      <c r="C81" s="451"/>
      <c r="D81" s="452"/>
      <c r="E81" s="468"/>
      <c r="F81" s="469"/>
      <c r="G81" s="241">
        <f>SUM(G82:G87)</f>
        <v>1800000</v>
      </c>
      <c r="J81" s="19"/>
    </row>
    <row r="82" spans="1:10" x14ac:dyDescent="0.2">
      <c r="A82" s="1"/>
      <c r="B82" s="447" t="s">
        <v>155</v>
      </c>
      <c r="C82" s="448"/>
      <c r="D82" s="449"/>
      <c r="E82" s="7">
        <v>30000</v>
      </c>
      <c r="F82" s="47">
        <v>14</v>
      </c>
      <c r="G82" s="8">
        <f>SUM(E82*F82)</f>
        <v>420000</v>
      </c>
      <c r="I82" s="282">
        <v>0.27</v>
      </c>
      <c r="J82" s="19">
        <f t="shared" si="4"/>
        <v>113400.00000000001</v>
      </c>
    </row>
    <row r="83" spans="1:10" x14ac:dyDescent="0.2">
      <c r="A83" s="1"/>
      <c r="B83" s="447" t="s">
        <v>156</v>
      </c>
      <c r="C83" s="448"/>
      <c r="D83" s="449"/>
      <c r="E83" s="465">
        <v>200000</v>
      </c>
      <c r="F83" s="466"/>
      <c r="G83" s="8">
        <v>200000</v>
      </c>
      <c r="I83" s="282">
        <v>0.27</v>
      </c>
      <c r="J83" s="19">
        <f t="shared" si="4"/>
        <v>54000</v>
      </c>
    </row>
    <row r="84" spans="1:10" x14ac:dyDescent="0.2">
      <c r="A84" s="1"/>
      <c r="B84" s="447" t="s">
        <v>157</v>
      </c>
      <c r="C84" s="448"/>
      <c r="D84" s="449"/>
      <c r="E84" s="465">
        <v>100000</v>
      </c>
      <c r="F84" s="466"/>
      <c r="G84" s="8">
        <v>100000</v>
      </c>
      <c r="I84" s="282">
        <v>0.27</v>
      </c>
      <c r="J84" s="19">
        <f t="shared" si="4"/>
        <v>27000</v>
      </c>
    </row>
    <row r="85" spans="1:10" x14ac:dyDescent="0.2">
      <c r="A85" s="1"/>
      <c r="B85" s="286"/>
      <c r="C85" s="287"/>
      <c r="D85" s="288"/>
      <c r="E85" s="465"/>
      <c r="F85" s="466"/>
      <c r="G85" s="8"/>
      <c r="I85" s="282">
        <v>0.27</v>
      </c>
      <c r="J85" s="19">
        <f t="shared" si="4"/>
        <v>0</v>
      </c>
    </row>
    <row r="86" spans="1:10" x14ac:dyDescent="0.2">
      <c r="A86" s="1"/>
      <c r="B86" s="447" t="s">
        <v>174</v>
      </c>
      <c r="C86" s="448"/>
      <c r="D86" s="449"/>
      <c r="E86" s="465">
        <v>120000</v>
      </c>
      <c r="F86" s="466"/>
      <c r="G86" s="8">
        <v>120000</v>
      </c>
      <c r="I86" s="282">
        <v>0.27</v>
      </c>
      <c r="J86" s="19">
        <f t="shared" si="4"/>
        <v>32400.000000000004</v>
      </c>
    </row>
    <row r="87" spans="1:10" x14ac:dyDescent="0.2">
      <c r="A87" s="1"/>
      <c r="B87" s="447" t="s">
        <v>160</v>
      </c>
      <c r="C87" s="448"/>
      <c r="D87" s="449"/>
      <c r="E87" s="465">
        <v>410000</v>
      </c>
      <c r="F87" s="466"/>
      <c r="G87" s="8">
        <v>960000</v>
      </c>
      <c r="I87" s="282">
        <v>0.27</v>
      </c>
      <c r="J87" s="19">
        <f t="shared" si="4"/>
        <v>259200.00000000003</v>
      </c>
    </row>
    <row r="88" spans="1:10" x14ac:dyDescent="0.2">
      <c r="A88" s="242" t="s">
        <v>70</v>
      </c>
      <c r="B88" s="450" t="s">
        <v>71</v>
      </c>
      <c r="C88" s="451"/>
      <c r="D88" s="452"/>
      <c r="E88" s="468"/>
      <c r="F88" s="469"/>
      <c r="G88" s="241">
        <f>SUM(G89)</f>
        <v>108000</v>
      </c>
      <c r="J88" s="19"/>
    </row>
    <row r="89" spans="1:10" x14ac:dyDescent="0.2">
      <c r="A89" s="1"/>
      <c r="B89" s="447" t="s">
        <v>162</v>
      </c>
      <c r="C89" s="448"/>
      <c r="D89" s="449"/>
      <c r="E89" s="190">
        <v>9000</v>
      </c>
      <c r="F89" s="7">
        <v>12</v>
      </c>
      <c r="G89" s="8">
        <f>SUM(E89*F89)</f>
        <v>108000</v>
      </c>
      <c r="I89" s="282">
        <v>0.05</v>
      </c>
      <c r="J89" s="19">
        <f t="shared" si="4"/>
        <v>5400</v>
      </c>
    </row>
    <row r="90" spans="1:10" x14ac:dyDescent="0.2">
      <c r="A90" s="263" t="s">
        <v>13</v>
      </c>
      <c r="B90" s="450" t="s">
        <v>72</v>
      </c>
      <c r="C90" s="451"/>
      <c r="D90" s="452"/>
      <c r="E90" s="468"/>
      <c r="F90" s="469"/>
      <c r="G90" s="241">
        <f>SUM(G91)</f>
        <v>78000</v>
      </c>
      <c r="J90" s="19"/>
    </row>
    <row r="91" spans="1:10" x14ac:dyDescent="0.2">
      <c r="A91" s="1"/>
      <c r="B91" s="447" t="s">
        <v>163</v>
      </c>
      <c r="C91" s="448"/>
      <c r="D91" s="449"/>
      <c r="E91" s="190">
        <v>6500</v>
      </c>
      <c r="F91" s="7">
        <v>12</v>
      </c>
      <c r="G91" s="8">
        <f>SUM(E91*F91)</f>
        <v>78000</v>
      </c>
      <c r="I91" s="282">
        <v>0.27</v>
      </c>
      <c r="J91" s="19">
        <f t="shared" si="4"/>
        <v>21060</v>
      </c>
    </row>
    <row r="92" spans="1:10" x14ac:dyDescent="0.2">
      <c r="A92" s="242" t="s">
        <v>78</v>
      </c>
      <c r="B92" s="450" t="s">
        <v>122</v>
      </c>
      <c r="C92" s="451"/>
      <c r="D92" s="452"/>
      <c r="E92" s="468"/>
      <c r="F92" s="469"/>
      <c r="G92" s="241">
        <f>SUM(G93:G95)</f>
        <v>3338900</v>
      </c>
      <c r="J92" s="19"/>
    </row>
    <row r="93" spans="1:10" x14ac:dyDescent="0.2">
      <c r="A93" s="1" t="s">
        <v>82</v>
      </c>
      <c r="B93" s="447" t="s">
        <v>79</v>
      </c>
      <c r="C93" s="448"/>
      <c r="D93" s="449"/>
      <c r="E93" s="465">
        <v>400000</v>
      </c>
      <c r="F93" s="466"/>
      <c r="G93" s="8">
        <v>600000</v>
      </c>
      <c r="I93" s="282">
        <v>0.27</v>
      </c>
      <c r="J93" s="19">
        <f t="shared" si="4"/>
        <v>162000</v>
      </c>
    </row>
    <row r="94" spans="1:10" x14ac:dyDescent="0.2">
      <c r="A94" s="1" t="s">
        <v>81</v>
      </c>
      <c r="B94" s="447" t="s">
        <v>80</v>
      </c>
      <c r="C94" s="448"/>
      <c r="D94" s="449"/>
      <c r="E94" s="465">
        <v>1600000</v>
      </c>
      <c r="F94" s="466"/>
      <c r="G94" s="8">
        <v>2138900</v>
      </c>
      <c r="I94" s="282">
        <v>0.27</v>
      </c>
      <c r="J94" s="19">
        <f t="shared" si="4"/>
        <v>577503</v>
      </c>
    </row>
    <row r="95" spans="1:10" x14ac:dyDescent="0.2">
      <c r="A95" s="1" t="s">
        <v>83</v>
      </c>
      <c r="B95" s="447" t="s">
        <v>84</v>
      </c>
      <c r="C95" s="448"/>
      <c r="D95" s="449"/>
      <c r="E95" s="190">
        <v>50000</v>
      </c>
      <c r="F95" s="174">
        <v>12</v>
      </c>
      <c r="G95" s="8">
        <f>SUM(E95*F95)</f>
        <v>600000</v>
      </c>
      <c r="I95" s="282">
        <v>0.27</v>
      </c>
      <c r="J95" s="19">
        <f t="shared" si="4"/>
        <v>162000</v>
      </c>
    </row>
    <row r="96" spans="1:10" x14ac:dyDescent="0.2">
      <c r="A96" s="242" t="s">
        <v>76</v>
      </c>
      <c r="B96" s="450" t="s">
        <v>77</v>
      </c>
      <c r="C96" s="451"/>
      <c r="D96" s="452"/>
      <c r="E96" s="468"/>
      <c r="F96" s="469"/>
      <c r="G96" s="241">
        <f>SUM(G97:G97)</f>
        <v>9448800</v>
      </c>
      <c r="J96" s="19"/>
    </row>
    <row r="97" spans="1:14" x14ac:dyDescent="0.2">
      <c r="A97" s="1"/>
      <c r="B97" s="447" t="s">
        <v>175</v>
      </c>
      <c r="C97" s="448"/>
      <c r="D97" s="449"/>
      <c r="E97" s="465">
        <v>6800000</v>
      </c>
      <c r="F97" s="466"/>
      <c r="G97" s="8">
        <v>9448800</v>
      </c>
      <c r="I97" s="282">
        <v>0.27</v>
      </c>
      <c r="J97" s="19">
        <f t="shared" si="4"/>
        <v>2551176</v>
      </c>
    </row>
    <row r="98" spans="1:14" ht="12.75" customHeight="1" x14ac:dyDescent="0.2">
      <c r="A98" s="242" t="s">
        <v>108</v>
      </c>
      <c r="B98" s="450" t="s">
        <v>109</v>
      </c>
      <c r="C98" s="451"/>
      <c r="D98" s="452"/>
      <c r="E98" s="468"/>
      <c r="F98" s="469"/>
      <c r="G98" s="241">
        <f>SUM(G99:G102)</f>
        <v>1430000</v>
      </c>
      <c r="J98" s="19"/>
    </row>
    <row r="99" spans="1:14" x14ac:dyDescent="0.2">
      <c r="A99" s="1"/>
      <c r="B99" s="447" t="s">
        <v>164</v>
      </c>
      <c r="C99" s="448"/>
      <c r="D99" s="449"/>
      <c r="E99" s="190">
        <v>2000</v>
      </c>
      <c r="F99" s="7">
        <v>14</v>
      </c>
      <c r="G99" s="8">
        <v>30000</v>
      </c>
      <c r="J99" s="19">
        <f t="shared" si="4"/>
        <v>0</v>
      </c>
    </row>
    <row r="100" spans="1:14" x14ac:dyDescent="0.2">
      <c r="A100" s="1"/>
      <c r="B100" s="447" t="s">
        <v>165</v>
      </c>
      <c r="C100" s="448"/>
      <c r="D100" s="449"/>
      <c r="E100" s="465">
        <v>100000</v>
      </c>
      <c r="F100" s="466"/>
      <c r="G100" s="8">
        <v>100000</v>
      </c>
      <c r="J100" s="19">
        <f t="shared" si="4"/>
        <v>0</v>
      </c>
    </row>
    <row r="101" spans="1:14" x14ac:dyDescent="0.2">
      <c r="A101" s="1"/>
      <c r="B101" s="447" t="s">
        <v>176</v>
      </c>
      <c r="C101" s="448"/>
      <c r="D101" s="449"/>
      <c r="E101" s="300">
        <v>100000</v>
      </c>
      <c r="F101" s="232">
        <v>10</v>
      </c>
      <c r="G101" s="8">
        <f>SUM(E101*F101)</f>
        <v>1000000</v>
      </c>
      <c r="J101" s="19"/>
    </row>
    <row r="102" spans="1:14" x14ac:dyDescent="0.2">
      <c r="A102" s="1"/>
      <c r="B102" s="447" t="s">
        <v>178</v>
      </c>
      <c r="C102" s="448"/>
      <c r="D102" s="449"/>
      <c r="E102" s="465">
        <v>300000</v>
      </c>
      <c r="F102" s="466"/>
      <c r="G102" s="8">
        <f>SUM(E102)</f>
        <v>300000</v>
      </c>
      <c r="I102" s="282">
        <v>0.27</v>
      </c>
      <c r="J102" s="19">
        <f t="shared" si="4"/>
        <v>81000</v>
      </c>
    </row>
    <row r="103" spans="1:14" x14ac:dyDescent="0.2">
      <c r="A103" s="240" t="s">
        <v>14</v>
      </c>
      <c r="B103" s="450" t="s">
        <v>30</v>
      </c>
      <c r="C103" s="451"/>
      <c r="D103" s="452"/>
      <c r="E103" s="247"/>
      <c r="F103" s="248"/>
      <c r="G103" s="241">
        <f>SUM(G104:G106)</f>
        <v>1160000</v>
      </c>
      <c r="J103" s="19"/>
    </row>
    <row r="104" spans="1:14" x14ac:dyDescent="0.2">
      <c r="A104" s="1"/>
      <c r="B104" s="447" t="s">
        <v>166</v>
      </c>
      <c r="C104" s="448"/>
      <c r="D104" s="449"/>
      <c r="E104" s="190">
        <v>15000</v>
      </c>
      <c r="F104" s="7">
        <v>4</v>
      </c>
      <c r="G104" s="8">
        <f>SUM(E104*F104)</f>
        <v>60000</v>
      </c>
      <c r="I104" s="282">
        <v>0.27</v>
      </c>
      <c r="J104" s="19">
        <f t="shared" si="4"/>
        <v>16200.000000000002</v>
      </c>
    </row>
    <row r="105" spans="1:14" x14ac:dyDescent="0.2">
      <c r="A105" s="1"/>
      <c r="B105" s="447" t="s">
        <v>167</v>
      </c>
      <c r="C105" s="448"/>
      <c r="D105" s="449"/>
      <c r="E105" s="465">
        <v>500000</v>
      </c>
      <c r="F105" s="466"/>
      <c r="G105" s="8">
        <v>500000</v>
      </c>
      <c r="I105" s="223" t="s">
        <v>168</v>
      </c>
      <c r="J105" s="19"/>
    </row>
    <row r="106" spans="1:14" x14ac:dyDescent="0.2">
      <c r="A106" s="1"/>
      <c r="B106" s="447" t="s">
        <v>30</v>
      </c>
      <c r="C106" s="448"/>
      <c r="D106" s="449"/>
      <c r="E106" s="465">
        <v>600000</v>
      </c>
      <c r="F106" s="466"/>
      <c r="G106" s="8">
        <f>SUM(E106)</f>
        <v>600000</v>
      </c>
      <c r="I106" s="282">
        <v>0.27</v>
      </c>
      <c r="J106" s="19">
        <f t="shared" si="4"/>
        <v>162000</v>
      </c>
    </row>
    <row r="107" spans="1:14" x14ac:dyDescent="0.2">
      <c r="A107" s="256" t="s">
        <v>15</v>
      </c>
      <c r="B107" s="450" t="s">
        <v>31</v>
      </c>
      <c r="C107" s="451"/>
      <c r="D107" s="452"/>
      <c r="E107" s="247"/>
      <c r="F107" s="248"/>
      <c r="G107" s="241">
        <f>SUM(G108)</f>
        <v>100000</v>
      </c>
    </row>
    <row r="108" spans="1:14" x14ac:dyDescent="0.2">
      <c r="A108" s="1"/>
      <c r="B108" s="447" t="s">
        <v>31</v>
      </c>
      <c r="C108" s="448"/>
      <c r="D108" s="449"/>
      <c r="E108" s="465">
        <v>100000</v>
      </c>
      <c r="F108" s="466"/>
      <c r="G108" s="8">
        <v>100000</v>
      </c>
    </row>
    <row r="109" spans="1:14" ht="21" customHeight="1" x14ac:dyDescent="0.2">
      <c r="A109" s="240" t="s">
        <v>16</v>
      </c>
      <c r="B109" s="450" t="s">
        <v>32</v>
      </c>
      <c r="C109" s="451"/>
      <c r="D109" s="452"/>
      <c r="E109" s="247"/>
      <c r="F109" s="248"/>
      <c r="G109" s="241">
        <v>4500000</v>
      </c>
      <c r="J109" s="19">
        <f>SUM(J79:J107)</f>
        <v>4229839</v>
      </c>
    </row>
    <row r="110" spans="1:14" ht="22.5" customHeight="1" thickBot="1" x14ac:dyDescent="0.25">
      <c r="A110" s="264" t="s">
        <v>17</v>
      </c>
      <c r="B110" s="482" t="s">
        <v>61</v>
      </c>
      <c r="C110" s="483"/>
      <c r="D110" s="484"/>
      <c r="E110" s="247"/>
      <c r="F110" s="248"/>
      <c r="G110" s="258">
        <v>10000</v>
      </c>
      <c r="N110" s="19"/>
    </row>
    <row r="111" spans="1:14" ht="13.5" thickBot="1" x14ac:dyDescent="0.25">
      <c r="A111" s="437" t="s">
        <v>37</v>
      </c>
      <c r="B111" s="446"/>
      <c r="C111" s="51"/>
      <c r="D111" s="51"/>
      <c r="E111" s="51"/>
      <c r="F111" s="45"/>
      <c r="G111" s="46">
        <f>SUM(G78,G81,G88,G90,G92,G96,G98,G103,G107,G109,G110)</f>
        <v>22083700</v>
      </c>
    </row>
    <row r="112" spans="1:14" x14ac:dyDescent="0.2">
      <c r="A112" s="265" t="s">
        <v>136</v>
      </c>
      <c r="B112" s="266" t="s">
        <v>137</v>
      </c>
      <c r="C112" s="267"/>
      <c r="D112" s="267"/>
      <c r="E112" s="267"/>
      <c r="F112" s="268"/>
      <c r="G112" s="269">
        <v>0</v>
      </c>
    </row>
    <row r="113" spans="1:10" ht="13.5" thickBot="1" x14ac:dyDescent="0.25">
      <c r="A113" s="437" t="s">
        <v>135</v>
      </c>
      <c r="B113" s="446"/>
      <c r="C113" s="51"/>
      <c r="D113" s="51"/>
      <c r="E113" s="51"/>
      <c r="F113" s="45"/>
      <c r="G113" s="46">
        <f>SUM(G112)</f>
        <v>0</v>
      </c>
    </row>
    <row r="114" spans="1:10" x14ac:dyDescent="0.2">
      <c r="A114" s="270" t="s">
        <v>85</v>
      </c>
      <c r="B114" s="453" t="s">
        <v>86</v>
      </c>
      <c r="C114" s="454"/>
      <c r="D114" s="455"/>
      <c r="E114" s="237"/>
      <c r="F114" s="238"/>
      <c r="G114" s="239">
        <f>SUM(G115:G115)</f>
        <v>2574095</v>
      </c>
    </row>
    <row r="115" spans="1:10" x14ac:dyDescent="0.2">
      <c r="A115" s="1"/>
      <c r="B115" s="447"/>
      <c r="C115" s="448"/>
      <c r="D115" s="449"/>
      <c r="E115" s="465"/>
      <c r="F115" s="466"/>
      <c r="G115" s="8">
        <v>2574095</v>
      </c>
      <c r="I115" s="282">
        <v>0.27</v>
      </c>
      <c r="J115">
        <f>SUM(G115*I115)</f>
        <v>695005.65</v>
      </c>
    </row>
    <row r="116" spans="1:10" ht="21.75" customHeight="1" thickBot="1" x14ac:dyDescent="0.25">
      <c r="A116" s="242" t="s">
        <v>87</v>
      </c>
      <c r="B116" s="482" t="s">
        <v>89</v>
      </c>
      <c r="C116" s="483"/>
      <c r="D116" s="484"/>
      <c r="E116" s="262"/>
      <c r="F116" s="235"/>
      <c r="G116" s="241">
        <v>695005</v>
      </c>
    </row>
    <row r="117" spans="1:10" ht="13.5" thickBot="1" x14ac:dyDescent="0.25">
      <c r="A117" s="437" t="s">
        <v>88</v>
      </c>
      <c r="B117" s="446"/>
      <c r="C117" s="51"/>
      <c r="D117" s="51"/>
      <c r="E117" s="51"/>
      <c r="F117" s="154"/>
      <c r="G117" s="155">
        <f>G114+G116</f>
        <v>3269100</v>
      </c>
    </row>
    <row r="118" spans="1:10" ht="13.5" thickBot="1" x14ac:dyDescent="0.25">
      <c r="A118" s="444" t="s">
        <v>40</v>
      </c>
      <c r="B118" s="445"/>
      <c r="C118" s="53"/>
      <c r="D118" s="53"/>
      <c r="E118" s="53"/>
      <c r="F118" s="57"/>
      <c r="G118" s="53">
        <f>SUM(G77,G111,G113,G117)</f>
        <v>25372800</v>
      </c>
    </row>
    <row r="119" spans="1:10" x14ac:dyDescent="0.2">
      <c r="A119" s="428" t="s">
        <v>110</v>
      </c>
      <c r="B119" s="429"/>
      <c r="C119" s="429"/>
      <c r="D119" s="429"/>
      <c r="E119" s="429"/>
      <c r="F119" s="429"/>
      <c r="G119" s="430"/>
    </row>
    <row r="120" spans="1:10" x14ac:dyDescent="0.2">
      <c r="A120" s="431" t="s">
        <v>0</v>
      </c>
      <c r="B120" s="433" t="s">
        <v>39</v>
      </c>
      <c r="C120" s="489"/>
      <c r="D120" s="490"/>
      <c r="E120" s="490"/>
      <c r="F120" s="491"/>
      <c r="G120" s="13">
        <v>2023</v>
      </c>
    </row>
    <row r="121" spans="1:10" ht="13.5" thickBot="1" x14ac:dyDescent="0.25">
      <c r="A121" s="432"/>
      <c r="B121" s="434"/>
      <c r="C121" s="492"/>
      <c r="D121" s="493"/>
      <c r="E121" s="493"/>
      <c r="F121" s="494"/>
      <c r="G121" s="14" t="s">
        <v>185</v>
      </c>
    </row>
    <row r="122" spans="1:10" ht="15" customHeight="1" x14ac:dyDescent="0.2">
      <c r="A122" s="256" t="s">
        <v>4</v>
      </c>
      <c r="B122" s="453" t="s">
        <v>21</v>
      </c>
      <c r="C122" s="454"/>
      <c r="D122" s="455"/>
      <c r="E122" s="234"/>
      <c r="F122" s="235"/>
      <c r="G122" s="236">
        <v>3900000</v>
      </c>
      <c r="H122" s="19">
        <f>SUM(G123:G124)</f>
        <v>3872440</v>
      </c>
    </row>
    <row r="123" spans="1:10" x14ac:dyDescent="0.2">
      <c r="A123" s="5"/>
      <c r="B123" s="447" t="s">
        <v>149</v>
      </c>
      <c r="C123" s="448"/>
      <c r="D123" s="449"/>
      <c r="E123" s="36">
        <v>286000</v>
      </c>
      <c r="F123" s="38">
        <v>1</v>
      </c>
      <c r="G123" s="10">
        <f>SUM(E123*F123)</f>
        <v>286000</v>
      </c>
    </row>
    <row r="124" spans="1:10" x14ac:dyDescent="0.2">
      <c r="A124" s="5"/>
      <c r="B124" s="447" t="s">
        <v>149</v>
      </c>
      <c r="C124" s="448"/>
      <c r="D124" s="449"/>
      <c r="E124" s="36">
        <v>326040</v>
      </c>
      <c r="F124" s="38">
        <v>11</v>
      </c>
      <c r="G124" s="10">
        <f>SUM(E124*F124)</f>
        <v>3586440</v>
      </c>
    </row>
    <row r="125" spans="1:10" x14ac:dyDescent="0.2">
      <c r="A125" s="259" t="s">
        <v>115</v>
      </c>
      <c r="B125" s="450" t="s">
        <v>114</v>
      </c>
      <c r="C125" s="451"/>
      <c r="D125" s="452"/>
      <c r="E125" s="234"/>
      <c r="F125" s="235"/>
      <c r="G125" s="236"/>
    </row>
    <row r="126" spans="1:10" x14ac:dyDescent="0.2">
      <c r="A126" s="242" t="s">
        <v>67</v>
      </c>
      <c r="B126" s="450" t="s">
        <v>68</v>
      </c>
      <c r="C126" s="451"/>
      <c r="D126" s="452"/>
      <c r="E126" s="234"/>
      <c r="F126" s="235"/>
      <c r="G126" s="241">
        <v>70000</v>
      </c>
      <c r="H126" t="s">
        <v>169</v>
      </c>
    </row>
    <row r="127" spans="1:10" x14ac:dyDescent="0.2">
      <c r="A127" s="240" t="s">
        <v>6</v>
      </c>
      <c r="B127" s="450" t="s">
        <v>23</v>
      </c>
      <c r="C127" s="451"/>
      <c r="D127" s="452"/>
      <c r="E127" s="234"/>
      <c r="F127" s="235"/>
      <c r="G127" s="241">
        <f>SUM(G128)</f>
        <v>0</v>
      </c>
    </row>
    <row r="128" spans="1:10" x14ac:dyDescent="0.2">
      <c r="A128" s="5"/>
      <c r="B128" s="447"/>
      <c r="C128" s="448"/>
      <c r="D128" s="449"/>
      <c r="E128" s="36"/>
      <c r="F128" s="38"/>
      <c r="G128" s="10"/>
    </row>
    <row r="129" spans="1:8" ht="24.75" customHeight="1" x14ac:dyDescent="0.2">
      <c r="A129" s="240" t="s">
        <v>7</v>
      </c>
      <c r="B129" s="450" t="s">
        <v>24</v>
      </c>
      <c r="C129" s="451"/>
      <c r="D129" s="452"/>
      <c r="E129" s="234"/>
      <c r="F129" s="235"/>
      <c r="G129" s="241">
        <f>SUM(G130:G132)</f>
        <v>250000</v>
      </c>
    </row>
    <row r="130" spans="1:8" x14ac:dyDescent="0.2">
      <c r="A130" s="2"/>
      <c r="B130" s="447" t="s">
        <v>146</v>
      </c>
      <c r="C130" s="448"/>
      <c r="D130" s="449"/>
      <c r="E130" s="36">
        <v>60000</v>
      </c>
      <c r="F130" s="38">
        <v>1</v>
      </c>
      <c r="G130" s="9">
        <f>SUM(E130*F130)</f>
        <v>60000</v>
      </c>
    </row>
    <row r="131" spans="1:8" x14ac:dyDescent="0.2">
      <c r="A131" s="2"/>
      <c r="B131" s="447" t="s">
        <v>153</v>
      </c>
      <c r="C131" s="448"/>
      <c r="D131" s="449"/>
      <c r="E131" s="36">
        <v>12000</v>
      </c>
      <c r="F131" s="38">
        <v>1</v>
      </c>
      <c r="G131" s="9">
        <f>SUM(E131*F131)</f>
        <v>12000</v>
      </c>
    </row>
    <row r="132" spans="1:8" x14ac:dyDescent="0.2">
      <c r="A132" s="2"/>
      <c r="B132" s="447" t="s">
        <v>147</v>
      </c>
      <c r="C132" s="448"/>
      <c r="D132" s="449"/>
      <c r="E132" s="36"/>
      <c r="F132" s="38"/>
      <c r="G132" s="9">
        <v>178000</v>
      </c>
    </row>
    <row r="133" spans="1:8" ht="38.25" customHeight="1" thickBot="1" x14ac:dyDescent="0.25">
      <c r="A133" s="257" t="s">
        <v>8</v>
      </c>
      <c r="B133" s="456" t="s">
        <v>25</v>
      </c>
      <c r="C133" s="457"/>
      <c r="D133" s="458"/>
      <c r="E133" s="234"/>
      <c r="F133" s="235"/>
      <c r="G133" s="258"/>
    </row>
    <row r="134" spans="1:8" ht="13.5" thickBot="1" x14ac:dyDescent="0.25">
      <c r="A134" s="426" t="s">
        <v>35</v>
      </c>
      <c r="B134" s="427"/>
      <c r="C134" s="44"/>
      <c r="D134" s="44"/>
      <c r="E134" s="44"/>
      <c r="F134" s="45"/>
      <c r="G134" s="46">
        <f>SUM(G122,G125,G126,G127,G129,G133)</f>
        <v>4220000</v>
      </c>
    </row>
    <row r="135" spans="1:8" x14ac:dyDescent="0.2">
      <c r="A135" s="256" t="s">
        <v>9</v>
      </c>
      <c r="B135" s="453" t="s">
        <v>26</v>
      </c>
      <c r="C135" s="454"/>
      <c r="D135" s="455"/>
      <c r="E135" s="237"/>
      <c r="F135" s="283"/>
      <c r="G135" s="236"/>
    </row>
    <row r="136" spans="1:8" x14ac:dyDescent="0.2">
      <c r="A136" s="259" t="s">
        <v>9</v>
      </c>
      <c r="B136" s="459" t="s">
        <v>26</v>
      </c>
      <c r="C136" s="460"/>
      <c r="D136" s="461"/>
      <c r="E136" s="247">
        <f>SUM((G134-G123)*F136)</f>
        <v>511420</v>
      </c>
      <c r="F136" s="283">
        <v>0.13</v>
      </c>
      <c r="G136" s="241">
        <v>520000</v>
      </c>
    </row>
    <row r="137" spans="1:8" x14ac:dyDescent="0.2">
      <c r="A137" s="257" t="s">
        <v>10</v>
      </c>
      <c r="B137" s="450" t="s">
        <v>27</v>
      </c>
      <c r="C137" s="451"/>
      <c r="D137" s="452"/>
      <c r="E137" s="271">
        <f>SUM(G126*F137)</f>
        <v>10500</v>
      </c>
      <c r="F137" s="283">
        <v>0.15</v>
      </c>
      <c r="G137" s="241">
        <v>15000</v>
      </c>
    </row>
    <row r="138" spans="1:8" ht="13.5" thickBot="1" x14ac:dyDescent="0.25">
      <c r="A138" s="257" t="s">
        <v>10</v>
      </c>
      <c r="B138" s="462" t="s">
        <v>27</v>
      </c>
      <c r="C138" s="463"/>
      <c r="D138" s="464"/>
      <c r="E138" s="250"/>
      <c r="F138" s="235"/>
      <c r="G138" s="258"/>
    </row>
    <row r="139" spans="1:8" ht="13.5" thickBot="1" x14ac:dyDescent="0.25">
      <c r="A139" s="437" t="s">
        <v>69</v>
      </c>
      <c r="B139" s="427"/>
      <c r="C139" s="44"/>
      <c r="D139" s="44"/>
      <c r="E139" s="44"/>
      <c r="F139" s="154"/>
      <c r="G139" s="155">
        <f>SUM(G135:G138)</f>
        <v>535000</v>
      </c>
    </row>
    <row r="140" spans="1:8" ht="13.5" thickBot="1" x14ac:dyDescent="0.25">
      <c r="A140" s="435" t="s">
        <v>40</v>
      </c>
      <c r="B140" s="436"/>
      <c r="C140" s="153"/>
      <c r="D140" s="153"/>
      <c r="E140" s="23"/>
      <c r="F140" s="39"/>
      <c r="G140" s="23">
        <f t="shared" ref="G140" si="5">G134+G139</f>
        <v>4755000</v>
      </c>
    </row>
    <row r="141" spans="1:8" x14ac:dyDescent="0.2">
      <c r="A141" s="428" t="s">
        <v>112</v>
      </c>
      <c r="B141" s="429"/>
      <c r="C141" s="429"/>
      <c r="D141" s="429"/>
      <c r="E141" s="429"/>
      <c r="F141" s="429"/>
      <c r="G141" s="430"/>
    </row>
    <row r="142" spans="1:8" x14ac:dyDescent="0.2">
      <c r="A142" s="431" t="s">
        <v>0</v>
      </c>
      <c r="B142" s="433" t="s">
        <v>39</v>
      </c>
      <c r="C142" s="489"/>
      <c r="D142" s="490"/>
      <c r="E142" s="490"/>
      <c r="F142" s="491"/>
      <c r="G142" s="13">
        <v>2023</v>
      </c>
    </row>
    <row r="143" spans="1:8" ht="13.5" thickBot="1" x14ac:dyDescent="0.25">
      <c r="A143" s="432"/>
      <c r="B143" s="434"/>
      <c r="C143" s="492"/>
      <c r="D143" s="493"/>
      <c r="E143" s="493"/>
      <c r="F143" s="494"/>
      <c r="G143" s="14" t="s">
        <v>185</v>
      </c>
    </row>
    <row r="144" spans="1:8" x14ac:dyDescent="0.2">
      <c r="A144" s="256" t="s">
        <v>4</v>
      </c>
      <c r="B144" s="453" t="s">
        <v>21</v>
      </c>
      <c r="C144" s="454"/>
      <c r="D144" s="455"/>
      <c r="E144" s="234"/>
      <c r="F144" s="235"/>
      <c r="G144" s="236">
        <v>20700000</v>
      </c>
      <c r="H144" s="19">
        <f>SUM(G145:G153)</f>
        <v>20693360</v>
      </c>
    </row>
    <row r="145" spans="1:8" x14ac:dyDescent="0.2">
      <c r="A145" s="5"/>
      <c r="B145" s="447" t="s">
        <v>150</v>
      </c>
      <c r="C145" s="448"/>
      <c r="D145" s="449"/>
      <c r="E145" s="7">
        <v>442844</v>
      </c>
      <c r="F145" s="260">
        <v>1</v>
      </c>
      <c r="G145" s="10">
        <f>SUM(E145*F145)</f>
        <v>442844</v>
      </c>
    </row>
    <row r="146" spans="1:8" x14ac:dyDescent="0.2">
      <c r="A146" s="5"/>
      <c r="B146" s="447" t="s">
        <v>150</v>
      </c>
      <c r="C146" s="448"/>
      <c r="D146" s="449"/>
      <c r="E146" s="7">
        <v>479244</v>
      </c>
      <c r="F146" s="260">
        <v>11</v>
      </c>
      <c r="G146" s="10">
        <f>SUM(E146*F146)</f>
        <v>5271684</v>
      </c>
    </row>
    <row r="147" spans="1:8" x14ac:dyDescent="0.2">
      <c r="A147" s="5"/>
      <c r="B147" s="447" t="s">
        <v>143</v>
      </c>
      <c r="C147" s="448"/>
      <c r="D147" s="449"/>
      <c r="E147" s="158">
        <v>395264</v>
      </c>
      <c r="F147" s="260">
        <v>1</v>
      </c>
      <c r="G147" s="10">
        <f t="shared" ref="G147:G153" si="6">SUM(E147*F147)</f>
        <v>395264</v>
      </c>
    </row>
    <row r="148" spans="1:8" x14ac:dyDescent="0.2">
      <c r="A148" s="5"/>
      <c r="B148" s="447" t="s">
        <v>143</v>
      </c>
      <c r="C148" s="448"/>
      <c r="D148" s="449"/>
      <c r="E148" s="158">
        <v>431664</v>
      </c>
      <c r="F148" s="260">
        <v>11</v>
      </c>
      <c r="G148" s="10">
        <f t="shared" si="6"/>
        <v>4748304</v>
      </c>
    </row>
    <row r="149" spans="1:8" x14ac:dyDescent="0.2">
      <c r="A149" s="5"/>
      <c r="B149" s="447" t="s">
        <v>140</v>
      </c>
      <c r="C149" s="448"/>
      <c r="D149" s="449"/>
      <c r="E149" s="158">
        <v>385568</v>
      </c>
      <c r="F149" s="260">
        <v>1</v>
      </c>
      <c r="G149" s="10">
        <f t="shared" si="6"/>
        <v>385568</v>
      </c>
    </row>
    <row r="150" spans="1:8" x14ac:dyDescent="0.2">
      <c r="A150" s="5"/>
      <c r="B150" s="447" t="s">
        <v>140</v>
      </c>
      <c r="C150" s="448"/>
      <c r="D150" s="449"/>
      <c r="E150" s="158">
        <v>421968</v>
      </c>
      <c r="F150" s="260">
        <v>11</v>
      </c>
      <c r="G150" s="10">
        <f t="shared" si="6"/>
        <v>4641648</v>
      </c>
    </row>
    <row r="151" spans="1:8" x14ac:dyDescent="0.2">
      <c r="A151" s="5"/>
      <c r="B151" s="447" t="s">
        <v>142</v>
      </c>
      <c r="C151" s="448"/>
      <c r="D151" s="449"/>
      <c r="E151" s="158">
        <v>341816</v>
      </c>
      <c r="F151" s="260">
        <v>1</v>
      </c>
      <c r="G151" s="10">
        <f t="shared" si="6"/>
        <v>341816</v>
      </c>
    </row>
    <row r="152" spans="1:8" ht="12.75" customHeight="1" x14ac:dyDescent="0.2">
      <c r="A152" s="5"/>
      <c r="B152" s="447" t="s">
        <v>142</v>
      </c>
      <c r="C152" s="448"/>
      <c r="D152" s="449"/>
      <c r="E152" s="158">
        <v>378216</v>
      </c>
      <c r="F152" s="260">
        <v>2</v>
      </c>
      <c r="G152" s="10">
        <f t="shared" si="6"/>
        <v>756432</v>
      </c>
      <c r="H152" s="19"/>
    </row>
    <row r="153" spans="1:8" ht="12.75" customHeight="1" x14ac:dyDescent="0.2">
      <c r="A153" s="5"/>
      <c r="B153" s="447" t="s">
        <v>142</v>
      </c>
      <c r="C153" s="448"/>
      <c r="D153" s="449"/>
      <c r="E153" s="158">
        <v>412200</v>
      </c>
      <c r="F153" s="260">
        <v>9</v>
      </c>
      <c r="G153" s="10">
        <f t="shared" si="6"/>
        <v>3709800</v>
      </c>
      <c r="H153" s="19"/>
    </row>
    <row r="154" spans="1:8" x14ac:dyDescent="0.2">
      <c r="A154" s="259" t="s">
        <v>115</v>
      </c>
      <c r="B154" s="450" t="s">
        <v>114</v>
      </c>
      <c r="C154" s="451"/>
      <c r="D154" s="452"/>
      <c r="E154" s="262"/>
      <c r="F154" s="261"/>
      <c r="G154" s="236"/>
    </row>
    <row r="155" spans="1:8" ht="23.25" customHeight="1" x14ac:dyDescent="0.2">
      <c r="A155" s="259" t="s">
        <v>172</v>
      </c>
      <c r="B155" s="450" t="s">
        <v>173</v>
      </c>
      <c r="C155" s="451"/>
      <c r="D155" s="452"/>
      <c r="E155" s="234"/>
      <c r="F155" s="261"/>
      <c r="G155" s="236">
        <v>400000</v>
      </c>
    </row>
    <row r="156" spans="1:8" x14ac:dyDescent="0.2">
      <c r="A156" s="242" t="s">
        <v>67</v>
      </c>
      <c r="B156" s="450" t="s">
        <v>68</v>
      </c>
      <c r="C156" s="451"/>
      <c r="D156" s="452"/>
      <c r="E156" s="234"/>
      <c r="F156" s="235"/>
      <c r="G156" s="241">
        <v>260000</v>
      </c>
      <c r="H156" t="s">
        <v>169</v>
      </c>
    </row>
    <row r="157" spans="1:8" x14ac:dyDescent="0.2">
      <c r="A157" s="240" t="s">
        <v>6</v>
      </c>
      <c r="B157" s="450" t="s">
        <v>23</v>
      </c>
      <c r="C157" s="451"/>
      <c r="D157" s="452"/>
      <c r="E157" s="234"/>
      <c r="F157" s="235"/>
      <c r="G157" s="241">
        <f>SUM(G158)</f>
        <v>0</v>
      </c>
    </row>
    <row r="158" spans="1:8" x14ac:dyDescent="0.2">
      <c r="A158" s="5"/>
      <c r="B158" s="447"/>
      <c r="C158" s="448"/>
      <c r="D158" s="449"/>
      <c r="E158" s="158"/>
      <c r="F158" s="260"/>
      <c r="G158" s="10"/>
    </row>
    <row r="159" spans="1:8" ht="24.75" customHeight="1" x14ac:dyDescent="0.2">
      <c r="A159" s="240" t="s">
        <v>7</v>
      </c>
      <c r="B159" s="450" t="s">
        <v>24</v>
      </c>
      <c r="C159" s="451"/>
      <c r="D159" s="452"/>
      <c r="E159" s="234"/>
      <c r="F159" s="235"/>
      <c r="G159" s="241">
        <f>SUM(G160:G162)</f>
        <v>1300000</v>
      </c>
    </row>
    <row r="160" spans="1:8" x14ac:dyDescent="0.2">
      <c r="A160" s="2"/>
      <c r="B160" s="447" t="s">
        <v>146</v>
      </c>
      <c r="C160" s="448"/>
      <c r="D160" s="449"/>
      <c r="E160" s="36">
        <v>60000</v>
      </c>
      <c r="F160" s="38">
        <v>3</v>
      </c>
      <c r="G160" s="9">
        <f>SUM(E160*F160)</f>
        <v>180000</v>
      </c>
    </row>
    <row r="161" spans="1:7" x14ac:dyDescent="0.2">
      <c r="A161" s="2"/>
      <c r="B161" s="447" t="s">
        <v>153</v>
      </c>
      <c r="C161" s="448"/>
      <c r="D161" s="449"/>
      <c r="E161" s="36">
        <v>12000</v>
      </c>
      <c r="F161" s="38">
        <v>3</v>
      </c>
      <c r="G161" s="9">
        <f>SUM(E161*F161)</f>
        <v>36000</v>
      </c>
    </row>
    <row r="162" spans="1:7" x14ac:dyDescent="0.2">
      <c r="A162" s="2"/>
      <c r="B162" s="447" t="s">
        <v>147</v>
      </c>
      <c r="C162" s="448"/>
      <c r="D162" s="449"/>
      <c r="E162" s="36"/>
      <c r="F162" s="38"/>
      <c r="G162" s="9">
        <v>1084000</v>
      </c>
    </row>
    <row r="163" spans="1:7" ht="36" customHeight="1" thickBot="1" x14ac:dyDescent="0.25">
      <c r="A163" s="257" t="s">
        <v>8</v>
      </c>
      <c r="B163" s="456" t="s">
        <v>25</v>
      </c>
      <c r="C163" s="457"/>
      <c r="D163" s="458"/>
      <c r="E163" s="234"/>
      <c r="F163" s="235"/>
      <c r="G163" s="258"/>
    </row>
    <row r="164" spans="1:7" ht="13.5" thickBot="1" x14ac:dyDescent="0.25">
      <c r="A164" s="426" t="s">
        <v>35</v>
      </c>
      <c r="B164" s="427"/>
      <c r="C164" s="44"/>
      <c r="D164" s="44"/>
      <c r="E164" s="44"/>
      <c r="F164" s="45"/>
      <c r="G164" s="46">
        <f>SUM(G144,G154,G156,G157,G159,G163,G155)</f>
        <v>22660000</v>
      </c>
    </row>
    <row r="165" spans="1:7" x14ac:dyDescent="0.2">
      <c r="A165" s="259" t="s">
        <v>9</v>
      </c>
      <c r="B165" s="459" t="s">
        <v>26</v>
      </c>
      <c r="C165" s="460"/>
      <c r="D165" s="461"/>
      <c r="E165" s="237"/>
      <c r="F165" s="238"/>
      <c r="G165" s="239"/>
    </row>
    <row r="166" spans="1:7" x14ac:dyDescent="0.2">
      <c r="A166" s="259" t="s">
        <v>9</v>
      </c>
      <c r="B166" s="459" t="s">
        <v>26</v>
      </c>
      <c r="C166" s="460"/>
      <c r="D166" s="461"/>
      <c r="E166" s="234">
        <f>SUM(G164*F166)</f>
        <v>2945800</v>
      </c>
      <c r="F166" s="283">
        <v>0.13</v>
      </c>
      <c r="G166" s="236">
        <v>2950000</v>
      </c>
    </row>
    <row r="167" spans="1:7" x14ac:dyDescent="0.2">
      <c r="A167" s="257" t="s">
        <v>10</v>
      </c>
      <c r="B167" s="450" t="s">
        <v>27</v>
      </c>
      <c r="C167" s="451"/>
      <c r="D167" s="452"/>
      <c r="E167" s="247">
        <f>SUM(G156*F167)</f>
        <v>39000</v>
      </c>
      <c r="F167" s="302">
        <v>0.15</v>
      </c>
      <c r="G167" s="258">
        <v>40000</v>
      </c>
    </row>
    <row r="168" spans="1:7" ht="13.5" thickBot="1" x14ac:dyDescent="0.25">
      <c r="A168" s="257" t="s">
        <v>10</v>
      </c>
      <c r="B168" s="462" t="s">
        <v>27</v>
      </c>
      <c r="C168" s="463"/>
      <c r="D168" s="464"/>
      <c r="E168" s="271"/>
      <c r="F168" s="268"/>
      <c r="G168" s="258"/>
    </row>
    <row r="169" spans="1:7" ht="13.5" thickBot="1" x14ac:dyDescent="0.25">
      <c r="A169" s="437" t="s">
        <v>69</v>
      </c>
      <c r="B169" s="427"/>
      <c r="C169" s="44"/>
      <c r="D169" s="44"/>
      <c r="E169" s="44"/>
      <c r="F169" s="45"/>
      <c r="G169" s="46">
        <f>SUM(G165:G168)</f>
        <v>2990000</v>
      </c>
    </row>
    <row r="170" spans="1:7" ht="13.5" thickBot="1" x14ac:dyDescent="0.25">
      <c r="A170" s="435" t="s">
        <v>40</v>
      </c>
      <c r="B170" s="436"/>
      <c r="C170" s="153"/>
      <c r="D170" s="153"/>
      <c r="E170" s="23"/>
      <c r="F170" s="39"/>
      <c r="G170" s="23">
        <f>G164+G169</f>
        <v>25650000</v>
      </c>
    </row>
    <row r="171" spans="1:7" ht="13.5" thickBot="1" x14ac:dyDescent="0.25">
      <c r="A171" s="18"/>
      <c r="D171" s="19"/>
      <c r="E171" s="19"/>
      <c r="F171" s="19"/>
      <c r="G171" s="20"/>
    </row>
    <row r="172" spans="1:7" ht="13.5" thickBot="1" x14ac:dyDescent="0.25">
      <c r="A172" s="15" t="s">
        <v>50</v>
      </c>
      <c r="B172" s="16"/>
      <c r="C172" s="17"/>
      <c r="D172" s="17"/>
      <c r="E172" s="17"/>
      <c r="F172" s="59"/>
      <c r="G172" s="17">
        <f>SUM(G38,G72,G118,G140,G170)</f>
        <v>122167800</v>
      </c>
    </row>
    <row r="174" spans="1:7" x14ac:dyDescent="0.2">
      <c r="G174" s="19">
        <f>SUM(G172-'Bevételek COFOG'!F28)</f>
        <v>0</v>
      </c>
    </row>
  </sheetData>
  <mergeCells count="203">
    <mergeCell ref="A1:G1"/>
    <mergeCell ref="A2:G2"/>
    <mergeCell ref="A3:A4"/>
    <mergeCell ref="B3:B4"/>
    <mergeCell ref="A32:B32"/>
    <mergeCell ref="B22:D22"/>
    <mergeCell ref="B5:D5"/>
    <mergeCell ref="E83:F83"/>
    <mergeCell ref="E59:F59"/>
    <mergeCell ref="C74:F75"/>
    <mergeCell ref="B15:D15"/>
    <mergeCell ref="B16:D16"/>
    <mergeCell ref="B43:D43"/>
    <mergeCell ref="B51:D51"/>
    <mergeCell ref="B45:D45"/>
    <mergeCell ref="B49:D49"/>
    <mergeCell ref="B50:D50"/>
    <mergeCell ref="B33:D33"/>
    <mergeCell ref="B35:D35"/>
    <mergeCell ref="B52:D52"/>
    <mergeCell ref="C40:F41"/>
    <mergeCell ref="B14:D14"/>
    <mergeCell ref="E42:F42"/>
    <mergeCell ref="C3:F4"/>
    <mergeCell ref="B42:D42"/>
    <mergeCell ref="B53:D53"/>
    <mergeCell ref="B46:D46"/>
    <mergeCell ref="B44:D44"/>
    <mergeCell ref="C120:F121"/>
    <mergeCell ref="C142:F143"/>
    <mergeCell ref="B27:D27"/>
    <mergeCell ref="B31:D31"/>
    <mergeCell ref="B34:D34"/>
    <mergeCell ref="B93:D93"/>
    <mergeCell ref="B135:D135"/>
    <mergeCell ref="B101:D101"/>
    <mergeCell ref="E102:F102"/>
    <mergeCell ref="A111:B111"/>
    <mergeCell ref="A113:B113"/>
    <mergeCell ref="B116:D116"/>
    <mergeCell ref="B122:D122"/>
    <mergeCell ref="B125:D125"/>
    <mergeCell ref="B126:D126"/>
    <mergeCell ref="B127:D127"/>
    <mergeCell ref="B123:D123"/>
    <mergeCell ref="B98:D98"/>
    <mergeCell ref="B103:D103"/>
    <mergeCell ref="B107:D107"/>
    <mergeCell ref="B11:D11"/>
    <mergeCell ref="B24:D24"/>
    <mergeCell ref="B26:D26"/>
    <mergeCell ref="B6:D6"/>
    <mergeCell ref="B8:D8"/>
    <mergeCell ref="B10:D10"/>
    <mergeCell ref="B13:D13"/>
    <mergeCell ref="E92:F92"/>
    <mergeCell ref="E88:F88"/>
    <mergeCell ref="E90:F90"/>
    <mergeCell ref="B91:D91"/>
    <mergeCell ref="A77:B77"/>
    <mergeCell ref="E86:F86"/>
    <mergeCell ref="E80:F80"/>
    <mergeCell ref="E87:F87"/>
    <mergeCell ref="E84:F84"/>
    <mergeCell ref="E81:F81"/>
    <mergeCell ref="E63:F63"/>
    <mergeCell ref="B7:D7"/>
    <mergeCell ref="B9:D9"/>
    <mergeCell ref="B12:D12"/>
    <mergeCell ref="A39:G39"/>
    <mergeCell ref="A40:A41"/>
    <mergeCell ref="B40:B41"/>
    <mergeCell ref="A170:B170"/>
    <mergeCell ref="A141:G141"/>
    <mergeCell ref="A142:A143"/>
    <mergeCell ref="B142:B143"/>
    <mergeCell ref="A164:B164"/>
    <mergeCell ref="A169:B169"/>
    <mergeCell ref="B144:D144"/>
    <mergeCell ref="B154:D154"/>
    <mergeCell ref="B156:D156"/>
    <mergeCell ref="B157:D157"/>
    <mergeCell ref="B163:D163"/>
    <mergeCell ref="B166:D166"/>
    <mergeCell ref="B168:D168"/>
    <mergeCell ref="B162:D162"/>
    <mergeCell ref="B167:D167"/>
    <mergeCell ref="B165:D165"/>
    <mergeCell ref="B149:D149"/>
    <mergeCell ref="B150:D150"/>
    <mergeCell ref="B161:D161"/>
    <mergeCell ref="B145:D145"/>
    <mergeCell ref="B147:D147"/>
    <mergeCell ref="B151:D151"/>
    <mergeCell ref="B155:D155"/>
    <mergeCell ref="B160:D160"/>
    <mergeCell ref="B109:D109"/>
    <mergeCell ref="B110:D110"/>
    <mergeCell ref="B88:D88"/>
    <mergeCell ref="B90:D90"/>
    <mergeCell ref="B67:D67"/>
    <mergeCell ref="B69:D69"/>
    <mergeCell ref="B97:D97"/>
    <mergeCell ref="B106:D106"/>
    <mergeCell ref="B108:D108"/>
    <mergeCell ref="B100:D100"/>
    <mergeCell ref="B70:D70"/>
    <mergeCell ref="A72:B72"/>
    <mergeCell ref="B87:D87"/>
    <mergeCell ref="B18:D18"/>
    <mergeCell ref="A37:B37"/>
    <mergeCell ref="A38:B38"/>
    <mergeCell ref="B17:D17"/>
    <mergeCell ref="B19:D19"/>
    <mergeCell ref="B20:D20"/>
    <mergeCell ref="B21:D21"/>
    <mergeCell ref="B23:D23"/>
    <mergeCell ref="B25:D25"/>
    <mergeCell ref="B29:D29"/>
    <mergeCell ref="B36:D36"/>
    <mergeCell ref="B28:D28"/>
    <mergeCell ref="B30:D30"/>
    <mergeCell ref="E53:F53"/>
    <mergeCell ref="E54:F54"/>
    <mergeCell ref="A73:G73"/>
    <mergeCell ref="A74:A75"/>
    <mergeCell ref="B74:B75"/>
    <mergeCell ref="B68:D68"/>
    <mergeCell ref="E70:F70"/>
    <mergeCell ref="E56:F56"/>
    <mergeCell ref="E57:F57"/>
    <mergeCell ref="B58:D58"/>
    <mergeCell ref="E65:F65"/>
    <mergeCell ref="B54:D54"/>
    <mergeCell ref="B55:D55"/>
    <mergeCell ref="E55:F55"/>
    <mergeCell ref="B60:D60"/>
    <mergeCell ref="B62:D62"/>
    <mergeCell ref="B61:D61"/>
    <mergeCell ref="A66:B66"/>
    <mergeCell ref="B56:D56"/>
    <mergeCell ref="B57:D57"/>
    <mergeCell ref="B59:D59"/>
    <mergeCell ref="B64:D64"/>
    <mergeCell ref="A71:B71"/>
    <mergeCell ref="B65:D65"/>
    <mergeCell ref="E85:F85"/>
    <mergeCell ref="B63:D63"/>
    <mergeCell ref="B80:D80"/>
    <mergeCell ref="E98:F98"/>
    <mergeCell ref="B76:D76"/>
    <mergeCell ref="B78:D78"/>
    <mergeCell ref="A120:A121"/>
    <mergeCell ref="A118:B118"/>
    <mergeCell ref="E78:F78"/>
    <mergeCell ref="B82:D82"/>
    <mergeCell ref="B83:D83"/>
    <mergeCell ref="E115:F115"/>
    <mergeCell ref="E97:F97"/>
    <mergeCell ref="E105:F105"/>
    <mergeCell ref="E96:F96"/>
    <mergeCell ref="E106:F106"/>
    <mergeCell ref="E108:F108"/>
    <mergeCell ref="B81:D81"/>
    <mergeCell ref="E100:F100"/>
    <mergeCell ref="B115:D115"/>
    <mergeCell ref="E93:F93"/>
    <mergeCell ref="E94:F94"/>
    <mergeCell ref="B104:D104"/>
    <mergeCell ref="B84:D84"/>
    <mergeCell ref="B136:D136"/>
    <mergeCell ref="B137:D137"/>
    <mergeCell ref="B152:D152"/>
    <mergeCell ref="B148:D148"/>
    <mergeCell ref="B146:D146"/>
    <mergeCell ref="A139:B139"/>
    <mergeCell ref="A140:B140"/>
    <mergeCell ref="B153:D153"/>
    <mergeCell ref="B138:D138"/>
    <mergeCell ref="B158:D158"/>
    <mergeCell ref="B159:D159"/>
    <mergeCell ref="A117:B117"/>
    <mergeCell ref="B86:D86"/>
    <mergeCell ref="B79:D79"/>
    <mergeCell ref="B120:B121"/>
    <mergeCell ref="A134:B134"/>
    <mergeCell ref="B114:D114"/>
    <mergeCell ref="B89:D89"/>
    <mergeCell ref="B129:D129"/>
    <mergeCell ref="B130:D130"/>
    <mergeCell ref="B105:D105"/>
    <mergeCell ref="B133:D133"/>
    <mergeCell ref="B92:D92"/>
    <mergeCell ref="B99:D99"/>
    <mergeCell ref="B102:D102"/>
    <mergeCell ref="B94:D94"/>
    <mergeCell ref="B128:D128"/>
    <mergeCell ref="B96:D96"/>
    <mergeCell ref="B95:D95"/>
    <mergeCell ref="A119:G119"/>
    <mergeCell ref="B124:D124"/>
    <mergeCell ref="B132:D132"/>
    <mergeCell ref="B131:D131"/>
  </mergeCells>
  <phoneticPr fontId="27" type="noConversion"/>
  <pageMargins left="0.7" right="0.7" top="0.75" bottom="0.75" header="0.3" footer="0.3"/>
  <pageSetup paperSize="8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Mérleg(Óvoda 2023)</vt:lpstr>
      <vt:lpstr>Bevételek(Óvoda 2023)</vt:lpstr>
      <vt:lpstr>Bevételek COFOG</vt:lpstr>
      <vt:lpstr>Kiadások(Óvoda 2020)</vt:lpstr>
      <vt:lpstr>Kiadások COFOG szerint</vt:lpstr>
      <vt:lpstr>Részletes cofogos</vt:lpstr>
      <vt:lpstr>'Bevételek COFOG'!Nyomtatási_terület</vt:lpstr>
      <vt:lpstr>'Bevételek(Óvoda 2023)'!Nyomtatási_terület</vt:lpstr>
      <vt:lpstr>'Kiadások COFOG szerint'!Nyomtatási_terület</vt:lpstr>
      <vt:lpstr>'Kiadások(Óvoda 2020)'!Nyomtatási_terület</vt:lpstr>
      <vt:lpstr>'Mérleg(Óvoda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Balázs Márta</cp:lastModifiedBy>
  <cp:lastPrinted>2023-01-26T08:37:14Z</cp:lastPrinted>
  <dcterms:created xsi:type="dcterms:W3CDTF">2016-01-02T07:48:50Z</dcterms:created>
  <dcterms:modified xsi:type="dcterms:W3CDTF">2023-05-18T13:12:55Z</dcterms:modified>
</cp:coreProperties>
</file>