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1.31\"/>
    </mc:Choice>
  </mc:AlternateContent>
  <xr:revisionPtr revIDLastSave="0" documentId="13_ncr:1_{D6A1891B-54BB-4F8E-8690-E6B8780744F3}" xr6:coauthVersionLast="47" xr6:coauthVersionMax="47" xr10:uidLastSave="{00000000-0000-0000-0000-000000000000}"/>
  <workbookProtection workbookAlgorithmName="SHA-512" workbookHashValue="bjCyV9x00GL103zblPMlb0fOe5Dshf0LrCo5yi2+8LekEraKK3jRUHSnRJZHTnFhu1bIGwJO611vYfH/rNbIdw==" workbookSaltValue="hn3u5NMJVi1x52mYzdOR+w==" workbookSpinCount="100000" lockStructure="1"/>
  <bookViews>
    <workbookView xWindow="-120" yWindow="-120" windowWidth="29040" windowHeight="15840" tabRatio="500" firstSheet="1" activeTab="3" xr2:uid="{00000000-000D-0000-FFFF-FFFF00000000}"/>
  </bookViews>
  <sheets>
    <sheet name="Mérleg(önkormányzat 2023)" sheetId="1" r:id="rId1"/>
    <sheet name="Bevételek(önkormányzat 2023" sheetId="2" r:id="rId2"/>
    <sheet name="Bevételek COFOG szerint 2023" sheetId="3" state="hidden" r:id="rId3"/>
    <sheet name="Kiadások(önkormányzat 2023)" sheetId="4" r:id="rId4"/>
    <sheet name="Kiadások COFOG szerint" sheetId="5" state="hidden" r:id="rId5"/>
    <sheet name="Kiadások részletes COFOG" sheetId="6" state="hidden" r:id="rId6"/>
    <sheet name="Kiadások COFOG összesítő" sheetId="7" state="hidden" r:id="rId7"/>
    <sheet name="Pénzmaradvány 2020" sheetId="8" state="hidden" r:id="rId8"/>
  </sheets>
  <definedNames>
    <definedName name="_xlnm._FilterDatabase" localSheetId="2" hidden="1">'Bevételek COFOG szerint 2023'!$A$1:$A$170</definedName>
    <definedName name="_xlnm._FilterDatabase" localSheetId="4" hidden="1">'Kiadások COFOG szerint'!$A$1:$A$331</definedName>
    <definedName name="_xlnm.Print_Area" localSheetId="2">'Bevételek COFOG szerint 2023'!$A$1:$F$162</definedName>
    <definedName name="_xlnm.Print_Area" localSheetId="1">'Bevételek(önkormányzat 2023'!$A$1:$F$50</definedName>
    <definedName name="_xlnm.Print_Area" localSheetId="6">'Kiadások COFOG összesítő'!$A$1:$K$38</definedName>
    <definedName name="_xlnm.Print_Area" localSheetId="4">'Kiadások COFOG szerint'!$A$1:$F$316</definedName>
    <definedName name="_xlnm.Print_Area" localSheetId="5">'Kiadások részletes COFOG'!$A$1:$L$510</definedName>
    <definedName name="_xlnm.Print_Area" localSheetId="3">'Kiadások(önkormányzat 2023)'!$A$1:$F$84</definedName>
    <definedName name="_xlnm.Print_Area" localSheetId="0">'Mérleg(önkormányzat 2023)'!$A$1:$M$26</definedName>
    <definedName name="_xlnm.Print_Area" localSheetId="7">'Pénzmaradvány 2020'!$A$1:$C$29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0" i="3" l="1"/>
  <c r="F14" i="2"/>
  <c r="F13" i="2"/>
  <c r="F31" i="2" l="1"/>
  <c r="F35" i="2"/>
  <c r="F32" i="2"/>
  <c r="D56" i="3" l="1"/>
  <c r="G111" i="6"/>
  <c r="F24" i="3"/>
  <c r="F34" i="3" s="1"/>
  <c r="I432" i="6"/>
  <c r="I291" i="6"/>
  <c r="I292" i="6"/>
  <c r="F146" i="6" l="1"/>
  <c r="F147" i="6"/>
  <c r="J491" i="6"/>
  <c r="J485" i="6"/>
  <c r="I442" i="6"/>
  <c r="D133" i="3" l="1"/>
  <c r="D132" i="3"/>
  <c r="F134" i="3"/>
  <c r="D134" i="3" l="1"/>
  <c r="F300" i="6"/>
  <c r="F95" i="6"/>
  <c r="F98" i="6" s="1"/>
  <c r="F114" i="6" l="1"/>
  <c r="F477" i="6" l="1"/>
  <c r="F476" i="6" s="1"/>
  <c r="C479" i="6" s="1"/>
  <c r="F422" i="6"/>
  <c r="F412" i="6"/>
  <c r="F418" i="6"/>
  <c r="F417" i="6"/>
  <c r="F407" i="6"/>
  <c r="F408" i="6"/>
  <c r="F410" i="6"/>
  <c r="F409" i="6"/>
  <c r="F330" i="6"/>
  <c r="F329" i="6" s="1"/>
  <c r="F334" i="6"/>
  <c r="F333" i="6"/>
  <c r="F321" i="6"/>
  <c r="F192" i="5" s="1"/>
  <c r="D192" i="5" s="1"/>
  <c r="F319" i="6"/>
  <c r="F320" i="6" s="1"/>
  <c r="F277" i="6"/>
  <c r="F276" i="6"/>
  <c r="F273" i="6"/>
  <c r="F272" i="6"/>
  <c r="F265" i="6"/>
  <c r="F264" i="6"/>
  <c r="J317" i="6"/>
  <c r="K307" i="6"/>
  <c r="K129" i="6"/>
  <c r="K224" i="6"/>
  <c r="K256" i="6"/>
  <c r="F416" i="6" l="1"/>
  <c r="F198" i="6" l="1"/>
  <c r="F197" i="6"/>
  <c r="F196" i="6" l="1"/>
  <c r="F226" i="6"/>
  <c r="F133" i="6"/>
  <c r="F134" i="6"/>
  <c r="F84" i="6"/>
  <c r="F81" i="6"/>
  <c r="F82" i="6"/>
  <c r="F83" i="6"/>
  <c r="I72" i="6"/>
  <c r="I73" i="6"/>
  <c r="F74" i="6"/>
  <c r="I71" i="6"/>
  <c r="F366" i="6" l="1"/>
  <c r="F365" i="6"/>
  <c r="F177" i="5"/>
  <c r="F76" i="6"/>
  <c r="F77" i="6"/>
  <c r="I77" i="6" s="1"/>
  <c r="F75" i="6"/>
  <c r="I75" i="6" s="1"/>
  <c r="I79" i="6"/>
  <c r="C34" i="6"/>
  <c r="F29" i="6"/>
  <c r="F28" i="6"/>
  <c r="F27" i="6"/>
  <c r="F19" i="6"/>
  <c r="F18" i="6"/>
  <c r="F20" i="6"/>
  <c r="F24" i="6"/>
  <c r="F23" i="6"/>
  <c r="F22" i="6"/>
  <c r="F21" i="6"/>
  <c r="F17" i="6"/>
  <c r="F16" i="6"/>
  <c r="F223" i="6"/>
  <c r="F150" i="6"/>
  <c r="F60" i="6"/>
  <c r="F56" i="6"/>
  <c r="F57" i="6"/>
  <c r="F252" i="5"/>
  <c r="F290" i="6"/>
  <c r="F256" i="6"/>
  <c r="F148" i="6"/>
  <c r="F54" i="6"/>
  <c r="F53" i="6"/>
  <c r="F52" i="6"/>
  <c r="F347" i="6"/>
  <c r="F50" i="6"/>
  <c r="F345" i="6"/>
  <c r="F289" i="6"/>
  <c r="F288" i="6" s="1"/>
  <c r="F48" i="6"/>
  <c r="F46" i="6"/>
  <c r="C13" i="4"/>
  <c r="F37" i="6"/>
  <c r="F38" i="6"/>
  <c r="K35" i="3"/>
  <c r="F367" i="6" l="1"/>
  <c r="F218" i="5" s="1"/>
  <c r="E218" i="5" s="1"/>
  <c r="F149" i="6"/>
  <c r="F156" i="6" s="1"/>
  <c r="E70" i="3"/>
  <c r="F69" i="3"/>
  <c r="F295" i="6" l="1"/>
  <c r="E12" i="2"/>
  <c r="C49" i="2"/>
  <c r="E49" i="2"/>
  <c r="C71" i="3"/>
  <c r="C12" i="2" s="1"/>
  <c r="C44" i="3"/>
  <c r="F44" i="3"/>
  <c r="C18" i="4"/>
  <c r="C21" i="4"/>
  <c r="C73" i="4"/>
  <c r="C34" i="4"/>
  <c r="F421" i="6" l="1"/>
  <c r="C423" i="6" s="1"/>
  <c r="F43" i="5" l="1"/>
  <c r="F49" i="2"/>
  <c r="F102" i="5" l="1"/>
  <c r="D75" i="3"/>
  <c r="F71" i="3"/>
  <c r="F12" i="2" s="1"/>
  <c r="F275" i="6" l="1"/>
  <c r="F332" i="6"/>
  <c r="F335" i="6" l="1"/>
  <c r="C338" i="6"/>
  <c r="F112" i="3" l="1"/>
  <c r="I47" i="3" l="1"/>
  <c r="J46" i="3" s="1"/>
  <c r="I42" i="3"/>
  <c r="J42" i="3" s="1"/>
  <c r="J36" i="3"/>
  <c r="F478" i="6" l="1"/>
  <c r="I221" i="6" l="1"/>
  <c r="F225" i="6"/>
  <c r="I227" i="6"/>
  <c r="F206" i="6" l="1"/>
  <c r="F91" i="5"/>
  <c r="D91" i="5" s="1"/>
  <c r="I151" i="6"/>
  <c r="I145" i="6" l="1"/>
  <c r="F184" i="6" l="1"/>
  <c r="F192" i="6" s="1"/>
  <c r="F34" i="5" l="1"/>
  <c r="I87" i="6"/>
  <c r="I85" i="6"/>
  <c r="I86" i="6"/>
  <c r="I89" i="6"/>
  <c r="F88" i="6" l="1"/>
  <c r="I88" i="6" s="1"/>
  <c r="I70" i="6"/>
  <c r="I69" i="6"/>
  <c r="I65" i="6"/>
  <c r="I66" i="6"/>
  <c r="I67" i="6"/>
  <c r="F33" i="5" l="1"/>
  <c r="F34" i="6"/>
  <c r="F108" i="5"/>
  <c r="F77" i="4" s="1"/>
  <c r="I301" i="6"/>
  <c r="I300" i="6"/>
  <c r="I295" i="6"/>
  <c r="I294" i="6"/>
  <c r="I293" i="6"/>
  <c r="I289" i="6"/>
  <c r="I296" i="6"/>
  <c r="I297" i="6"/>
  <c r="I298" i="6"/>
  <c r="I303" i="6"/>
  <c r="I304" i="6"/>
  <c r="I284" i="6"/>
  <c r="I285" i="6"/>
  <c r="I286" i="6"/>
  <c r="I287" i="6"/>
  <c r="I283" i="6"/>
  <c r="F282" i="6"/>
  <c r="C280" i="6"/>
  <c r="F280" i="6" s="1"/>
  <c r="F271" i="6"/>
  <c r="C279" i="6" s="1"/>
  <c r="F279" i="6" l="1"/>
  <c r="G24" i="6"/>
  <c r="F40" i="6"/>
  <c r="F31" i="6"/>
  <c r="F176" i="5"/>
  <c r="F173" i="5"/>
  <c r="D173" i="5" s="1"/>
  <c r="F299" i="6"/>
  <c r="F178" i="5" s="1"/>
  <c r="F174" i="5"/>
  <c r="I299" i="6" l="1"/>
  <c r="I305" i="6" s="1"/>
  <c r="F295" i="5" l="1"/>
  <c r="F293" i="5"/>
  <c r="H456" i="6"/>
  <c r="F207" i="5"/>
  <c r="F349" i="6"/>
  <c r="H349" i="6" s="1"/>
  <c r="H348" i="6"/>
  <c r="H352" i="6"/>
  <c r="H353" i="6"/>
  <c r="H347" i="6"/>
  <c r="H345" i="6"/>
  <c r="H340" i="6"/>
  <c r="C337" i="6"/>
  <c r="F337" i="6" s="1"/>
  <c r="F438" i="6"/>
  <c r="I435" i="6"/>
  <c r="F434" i="6"/>
  <c r="F483" i="6" l="1"/>
  <c r="F294" i="5"/>
  <c r="D294" i="5" s="1"/>
  <c r="C480" i="6"/>
  <c r="E480" i="6" s="1"/>
  <c r="F206" i="5"/>
  <c r="F344" i="6"/>
  <c r="F346" i="6"/>
  <c r="I427" i="6"/>
  <c r="I429" i="6"/>
  <c r="I428" i="6"/>
  <c r="I433" i="6"/>
  <c r="I437" i="6"/>
  <c r="I438" i="6"/>
  <c r="I440" i="6"/>
  <c r="I430" i="6"/>
  <c r="C424" i="6"/>
  <c r="E424" i="6" s="1"/>
  <c r="G409" i="6" l="1"/>
  <c r="F424" i="6"/>
  <c r="G424" i="6" s="1"/>
  <c r="D59" i="3" l="1"/>
  <c r="D55" i="3"/>
  <c r="D57" i="3"/>
  <c r="C54" i="3"/>
  <c r="D54" i="3" s="1"/>
  <c r="C60" i="3"/>
  <c r="C65" i="3"/>
  <c r="F65" i="3"/>
  <c r="F60" i="3"/>
  <c r="D64" i="3"/>
  <c r="D63" i="3"/>
  <c r="D62" i="3"/>
  <c r="F54" i="3"/>
  <c r="D58" i="3"/>
  <c r="C34" i="3"/>
  <c r="C58" i="4"/>
  <c r="C54" i="4"/>
  <c r="C42" i="4"/>
  <c r="C16" i="4"/>
  <c r="C86" i="5"/>
  <c r="F167" i="5"/>
  <c r="D167" i="5" s="1"/>
  <c r="C29" i="8"/>
  <c r="J25" i="7"/>
  <c r="J24" i="7"/>
  <c r="H24" i="7"/>
  <c r="F24" i="7"/>
  <c r="J21" i="7"/>
  <c r="H21" i="7"/>
  <c r="F21" i="7"/>
  <c r="J20" i="7"/>
  <c r="H20" i="7"/>
  <c r="F20" i="7"/>
  <c r="J19" i="7"/>
  <c r="J18" i="7"/>
  <c r="H18" i="7"/>
  <c r="F18" i="7"/>
  <c r="J17" i="7"/>
  <c r="F17" i="7"/>
  <c r="J16" i="7"/>
  <c r="C80" i="3" l="1"/>
  <c r="F9" i="2"/>
  <c r="C10" i="2"/>
  <c r="F10" i="2"/>
  <c r="E65" i="3"/>
  <c r="D65" i="3"/>
  <c r="C9" i="2"/>
  <c r="J14" i="7"/>
  <c r="J13" i="7"/>
  <c r="H13" i="7"/>
  <c r="G13" i="7"/>
  <c r="F13" i="7"/>
  <c r="J12" i="7"/>
  <c r="H12" i="7"/>
  <c r="F12" i="7"/>
  <c r="J11" i="7"/>
  <c r="J9" i="7"/>
  <c r="F51" i="6" l="1"/>
  <c r="F379" i="6" l="1"/>
  <c r="I84" i="6" l="1"/>
  <c r="C372" i="6"/>
  <c r="E372" i="6" s="1"/>
  <c r="F402" i="6"/>
  <c r="H117" i="6"/>
  <c r="J117" i="6" s="1"/>
  <c r="C16" i="8" l="1"/>
  <c r="E156" i="3"/>
  <c r="E150" i="3"/>
  <c r="E149" i="3"/>
  <c r="E144" i="3"/>
  <c r="E143" i="3"/>
  <c r="E127" i="3"/>
  <c r="E126" i="3"/>
  <c r="E116" i="3"/>
  <c r="E101" i="3"/>
  <c r="E100" i="3"/>
  <c r="E90" i="3"/>
  <c r="E85" i="3"/>
  <c r="E69" i="3"/>
  <c r="E54" i="3"/>
  <c r="E38" i="3"/>
  <c r="E39" i="3"/>
  <c r="E31" i="3"/>
  <c r="E33" i="3"/>
  <c r="E15" i="3"/>
  <c r="E16" i="3"/>
  <c r="E22" i="3"/>
  <c r="F292" i="5"/>
  <c r="F249" i="5"/>
  <c r="D292" i="5" l="1"/>
  <c r="E479" i="6"/>
  <c r="D61" i="4"/>
  <c r="D63" i="4"/>
  <c r="D24" i="4"/>
  <c r="D25" i="4"/>
  <c r="D26" i="4"/>
  <c r="D28" i="4"/>
  <c r="D29" i="4"/>
  <c r="D30" i="4"/>
  <c r="D31" i="4"/>
  <c r="D32" i="4"/>
  <c r="D33" i="4"/>
  <c r="D252" i="5" l="1"/>
  <c r="D249" i="5"/>
  <c r="F225" i="5"/>
  <c r="C225" i="5"/>
  <c r="D95" i="3" l="1"/>
  <c r="D42" i="2"/>
  <c r="D45" i="2"/>
  <c r="D19" i="1" s="1"/>
  <c r="D46" i="2"/>
  <c r="D27" i="2"/>
  <c r="D29" i="2"/>
  <c r="D150" i="3"/>
  <c r="D151" i="3"/>
  <c r="D152" i="3"/>
  <c r="D153" i="3"/>
  <c r="D154" i="3"/>
  <c r="D155" i="3"/>
  <c r="D156" i="3"/>
  <c r="D157" i="3"/>
  <c r="D158" i="3"/>
  <c r="D159" i="3"/>
  <c r="D149" i="3"/>
  <c r="D144" i="3"/>
  <c r="D143" i="3"/>
  <c r="D138" i="3"/>
  <c r="D127" i="3"/>
  <c r="D126" i="3"/>
  <c r="D121" i="3"/>
  <c r="D116" i="3"/>
  <c r="D111" i="3"/>
  <c r="D106" i="3"/>
  <c r="D101" i="3"/>
  <c r="D100" i="3"/>
  <c r="D90" i="3"/>
  <c r="D85" i="3"/>
  <c r="D78" i="3"/>
  <c r="D79" i="3"/>
  <c r="D49" i="2" s="1"/>
  <c r="D71" i="3"/>
  <c r="D12" i="2" s="1"/>
  <c r="D72" i="3"/>
  <c r="D73" i="3"/>
  <c r="D74" i="3"/>
  <c r="D77" i="3"/>
  <c r="D70" i="3"/>
  <c r="D69" i="3"/>
  <c r="D66" i="3"/>
  <c r="D67" i="3"/>
  <c r="D68" i="3"/>
  <c r="D61" i="3"/>
  <c r="D39" i="3"/>
  <c r="D38" i="3"/>
  <c r="D31" i="3"/>
  <c r="D32" i="3"/>
  <c r="D33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10" i="3"/>
  <c r="D57" i="4"/>
  <c r="D53" i="4"/>
  <c r="E24" i="4"/>
  <c r="E25" i="4"/>
  <c r="E26" i="4"/>
  <c r="E28" i="4"/>
  <c r="E29" i="4"/>
  <c r="E30" i="4"/>
  <c r="E31" i="4"/>
  <c r="E32" i="4"/>
  <c r="E33" i="4"/>
  <c r="D61" i="5"/>
  <c r="D65" i="5"/>
  <c r="D67" i="5"/>
  <c r="D68" i="5"/>
  <c r="D303" i="5"/>
  <c r="D293" i="5"/>
  <c r="D231" i="5"/>
  <c r="D177" i="5"/>
  <c r="D179" i="5"/>
  <c r="D144" i="5"/>
  <c r="D143" i="5"/>
  <c r="D135" i="5"/>
  <c r="D93" i="5"/>
  <c r="C19" i="1"/>
  <c r="C18" i="1"/>
  <c r="I19" i="1"/>
  <c r="C48" i="2"/>
  <c r="C17" i="1" s="1"/>
  <c r="C44" i="2"/>
  <c r="C43" i="2"/>
  <c r="C41" i="2"/>
  <c r="C39" i="2"/>
  <c r="C38" i="2"/>
  <c r="C37" i="2"/>
  <c r="C36" i="2"/>
  <c r="C35" i="2"/>
  <c r="C34" i="2"/>
  <c r="C33" i="2"/>
  <c r="C32" i="2"/>
  <c r="C31" i="2"/>
  <c r="C28" i="2"/>
  <c r="C25" i="2"/>
  <c r="E25" i="2"/>
  <c r="C24" i="2"/>
  <c r="C23" i="2"/>
  <c r="C22" i="2"/>
  <c r="C21" i="2"/>
  <c r="C18" i="2"/>
  <c r="C20" i="2" s="1"/>
  <c r="C11" i="1" s="1"/>
  <c r="E18" i="2"/>
  <c r="C16" i="2"/>
  <c r="C17" i="2" s="1"/>
  <c r="C10" i="1" s="1"/>
  <c r="C11" i="2"/>
  <c r="C8" i="2"/>
  <c r="D40" i="3" l="1"/>
  <c r="C14" i="2"/>
  <c r="C9" i="1" s="1"/>
  <c r="C40" i="2"/>
  <c r="C13" i="1" s="1"/>
  <c r="C47" i="2"/>
  <c r="C16" i="1" s="1"/>
  <c r="C30" i="2"/>
  <c r="C12" i="1" s="1"/>
  <c r="D18" i="2"/>
  <c r="F34" i="2"/>
  <c r="D34" i="2" s="1"/>
  <c r="F39" i="2"/>
  <c r="D39" i="2" s="1"/>
  <c r="F37" i="2"/>
  <c r="D37" i="2" s="1"/>
  <c r="F36" i="2"/>
  <c r="D36" i="2" s="1"/>
  <c r="D35" i="2"/>
  <c r="F33" i="2"/>
  <c r="D33" i="2" s="1"/>
  <c r="D31" i="2"/>
  <c r="F25" i="2"/>
  <c r="D25" i="2" s="1"/>
  <c r="F160" i="3"/>
  <c r="C62" i="4"/>
  <c r="C64" i="4"/>
  <c r="C75" i="4"/>
  <c r="I20" i="1" s="1"/>
  <c r="E75" i="4"/>
  <c r="C76" i="4"/>
  <c r="C79" i="4"/>
  <c r="I17" i="1" s="1"/>
  <c r="C78" i="4"/>
  <c r="I18" i="1" s="1"/>
  <c r="C77" i="4"/>
  <c r="I14" i="1" s="1"/>
  <c r="C72" i="4"/>
  <c r="C71" i="4"/>
  <c r="C70" i="4"/>
  <c r="C69" i="4"/>
  <c r="C68" i="4"/>
  <c r="C67" i="4"/>
  <c r="C66" i="4"/>
  <c r="C50" i="4"/>
  <c r="C49" i="4"/>
  <c r="C48" i="4"/>
  <c r="C47" i="4"/>
  <c r="C46" i="4"/>
  <c r="C45" i="4"/>
  <c r="C44" i="4"/>
  <c r="C43" i="4"/>
  <c r="C41" i="4"/>
  <c r="C40" i="4"/>
  <c r="C35" i="4"/>
  <c r="C27" i="4"/>
  <c r="C23" i="4"/>
  <c r="C19" i="4"/>
  <c r="C17" i="4"/>
  <c r="C15" i="4"/>
  <c r="C14" i="4"/>
  <c r="C12" i="4"/>
  <c r="C11" i="4"/>
  <c r="C9" i="4"/>
  <c r="C8" i="4"/>
  <c r="C160" i="3"/>
  <c r="C309" i="5"/>
  <c r="C298" i="5"/>
  <c r="C282" i="5"/>
  <c r="C145" i="3"/>
  <c r="C276" i="5"/>
  <c r="J22" i="7" s="1"/>
  <c r="C134" i="3"/>
  <c r="C139" i="3"/>
  <c r="C270" i="5"/>
  <c r="C128" i="3"/>
  <c r="C262" i="5"/>
  <c r="C242" i="5"/>
  <c r="C237" i="5"/>
  <c r="C219" i="5"/>
  <c r="C117" i="3"/>
  <c r="C214" i="5"/>
  <c r="C112" i="3"/>
  <c r="C187" i="5"/>
  <c r="C161" i="5"/>
  <c r="C153" i="5"/>
  <c r="C102" i="3"/>
  <c r="C147" i="5"/>
  <c r="C139" i="5"/>
  <c r="C119" i="5"/>
  <c r="C109" i="5"/>
  <c r="C20" i="4" l="1"/>
  <c r="C15" i="1"/>
  <c r="C22" i="1" s="1"/>
  <c r="E160" i="3"/>
  <c r="C50" i="2"/>
  <c r="C65" i="4"/>
  <c r="I13" i="1" s="1"/>
  <c r="C22" i="4"/>
  <c r="I10" i="1" s="1"/>
  <c r="C59" i="4"/>
  <c r="I12" i="1" s="1"/>
  <c r="I9" i="1"/>
  <c r="C74" i="4"/>
  <c r="I16" i="1" s="1"/>
  <c r="I21" i="1"/>
  <c r="F210" i="5"/>
  <c r="F35" i="5"/>
  <c r="F44" i="5"/>
  <c r="E35" i="5" l="1"/>
  <c r="D35" i="5"/>
  <c r="E44" i="5"/>
  <c r="D44" i="5"/>
  <c r="D79" i="4" s="1"/>
  <c r="D210" i="5"/>
  <c r="F40" i="3"/>
  <c r="F86" i="3"/>
  <c r="F102" i="3"/>
  <c r="E102" i="3" s="1"/>
  <c r="F117" i="3"/>
  <c r="F128" i="3"/>
  <c r="E128" i="3" s="1"/>
  <c r="F145" i="3"/>
  <c r="E145" i="3" s="1"/>
  <c r="F172" i="5"/>
  <c r="F242" i="6" l="1"/>
  <c r="F55" i="6"/>
  <c r="F49" i="6"/>
  <c r="F45" i="6"/>
  <c r="F431" i="6" l="1"/>
  <c r="F447" i="6" s="1"/>
  <c r="I62" i="6"/>
  <c r="F259" i="6"/>
  <c r="F246" i="6"/>
  <c r="F251" i="6" s="1"/>
  <c r="I248" i="6"/>
  <c r="I249" i="6"/>
  <c r="I247" i="6"/>
  <c r="I162" i="6"/>
  <c r="I163" i="6"/>
  <c r="I165" i="6"/>
  <c r="I160" i="6"/>
  <c r="I147" i="6"/>
  <c r="I148" i="6"/>
  <c r="I150" i="6"/>
  <c r="I146" i="6"/>
  <c r="I152" i="6" l="1"/>
  <c r="I441" i="6"/>
  <c r="I443" i="6" s="1"/>
  <c r="F254" i="5"/>
  <c r="I250" i="6"/>
  <c r="C258" i="6"/>
  <c r="I64" i="6"/>
  <c r="I68" i="6"/>
  <c r="D254" i="5" l="1"/>
  <c r="I220" i="6"/>
  <c r="I222" i="6"/>
  <c r="F224" i="6"/>
  <c r="I82" i="6"/>
  <c r="I83" i="6"/>
  <c r="I57" i="6"/>
  <c r="F63" i="6"/>
  <c r="I61" i="6"/>
  <c r="I58" i="6"/>
  <c r="I50" i="6"/>
  <c r="I48" i="6"/>
  <c r="I52" i="6"/>
  <c r="I53" i="6"/>
  <c r="I54" i="6"/>
  <c r="I76" i="6"/>
  <c r="I39" i="6"/>
  <c r="I41" i="6"/>
  <c r="I42" i="6"/>
  <c r="I43" i="6"/>
  <c r="I44" i="6"/>
  <c r="I47" i="6"/>
  <c r="I37" i="6"/>
  <c r="F127" i="6"/>
  <c r="E24" i="3" l="1"/>
  <c r="C228" i="6"/>
  <c r="I56" i="6"/>
  <c r="F59" i="6"/>
  <c r="I38" i="6"/>
  <c r="D24" i="3"/>
  <c r="F80" i="6"/>
  <c r="F31" i="5" s="1"/>
  <c r="I226" i="6"/>
  <c r="I60" i="6"/>
  <c r="I223" i="6"/>
  <c r="I81" i="6"/>
  <c r="F341" i="6"/>
  <c r="F361" i="6" s="1"/>
  <c r="I228" i="6" l="1"/>
  <c r="H341" i="6"/>
  <c r="C36" i="4" l="1"/>
  <c r="C51" i="4" s="1"/>
  <c r="I11" i="1" s="1"/>
  <c r="I15" i="1" s="1"/>
  <c r="I22" i="1" s="1"/>
  <c r="J10" i="7"/>
  <c r="G265" i="6" l="1"/>
  <c r="C103" i="5"/>
  <c r="C97" i="5"/>
  <c r="C71" i="5"/>
  <c r="C54" i="5"/>
  <c r="C51" i="5"/>
  <c r="C46" i="5"/>
  <c r="C38" i="5"/>
  <c r="J8" i="7" s="1"/>
  <c r="J26" i="7" s="1"/>
  <c r="C19" i="5"/>
  <c r="H8" i="7" s="1"/>
  <c r="C17" i="5"/>
  <c r="F8" i="7" s="1"/>
  <c r="D41" i="5"/>
  <c r="D11" i="5"/>
  <c r="D39" i="5"/>
  <c r="D40" i="5"/>
  <c r="D42" i="5"/>
  <c r="D55" i="5"/>
  <c r="C56" i="5" l="1"/>
  <c r="C313" i="5" s="1"/>
  <c r="D53" i="3"/>
  <c r="D45" i="3"/>
  <c r="D46" i="3"/>
  <c r="D47" i="3"/>
  <c r="D48" i="3"/>
  <c r="D49" i="3"/>
  <c r="D50" i="3"/>
  <c r="D51" i="3"/>
  <c r="D52" i="3"/>
  <c r="H17" i="7" l="1"/>
  <c r="H26" i="7" s="1"/>
  <c r="F11" i="7"/>
  <c r="F26" i="7" s="1"/>
  <c r="F152" i="5"/>
  <c r="D152" i="5" s="1"/>
  <c r="F151" i="5"/>
  <c r="D151" i="5" s="1"/>
  <c r="F107" i="5"/>
  <c r="F85" i="5"/>
  <c r="D85" i="5" s="1"/>
  <c r="F84" i="5"/>
  <c r="F83" i="5"/>
  <c r="D153" i="5" l="1"/>
  <c r="D107" i="5"/>
  <c r="E107" i="5"/>
  <c r="D83" i="5"/>
  <c r="D84" i="5"/>
  <c r="F153" i="5"/>
  <c r="G251" i="6" s="1"/>
  <c r="F67" i="4"/>
  <c r="D67" i="4" l="1"/>
  <c r="F194" i="5"/>
  <c r="D194" i="5" l="1"/>
  <c r="F12" i="4"/>
  <c r="D12" i="4" s="1"/>
  <c r="F199" i="5" l="1"/>
  <c r="C375" i="6"/>
  <c r="E375" i="6" s="1"/>
  <c r="C378" i="6"/>
  <c r="E378" i="6" s="1"/>
  <c r="F499" i="6"/>
  <c r="F302" i="5"/>
  <c r="F232" i="6"/>
  <c r="F234" i="6" s="1"/>
  <c r="D199" i="5" l="1"/>
  <c r="E199" i="5"/>
  <c r="D302" i="5"/>
  <c r="C489" i="6"/>
  <c r="F164" i="6"/>
  <c r="C118" i="6"/>
  <c r="I80" i="6"/>
  <c r="I45" i="6"/>
  <c r="F13" i="6"/>
  <c r="I164" i="6" l="1"/>
  <c r="I168" i="6" s="1"/>
  <c r="F14" i="6"/>
  <c r="C33" i="6" l="1"/>
  <c r="F33" i="6" s="1"/>
  <c r="G35" i="6" s="1"/>
  <c r="D60" i="3"/>
  <c r="E60" i="3"/>
  <c r="E77" i="4"/>
  <c r="E108" i="5"/>
  <c r="D108" i="5"/>
  <c r="D77" i="4" s="1"/>
  <c r="F62" i="4"/>
  <c r="E62" i="4" l="1"/>
  <c r="D62" i="4"/>
  <c r="F107" i="3"/>
  <c r="F16" i="2" s="1"/>
  <c r="D16" i="2" s="1"/>
  <c r="D107" i="3"/>
  <c r="F291" i="5"/>
  <c r="F213" i="5"/>
  <c r="D213" i="5" s="1"/>
  <c r="F212" i="5"/>
  <c r="D212" i="5" s="1"/>
  <c r="F211" i="5"/>
  <c r="G24" i="7" l="1"/>
  <c r="D295" i="5"/>
  <c r="I24" i="7"/>
  <c r="D291" i="5"/>
  <c r="D211" i="5"/>
  <c r="C81" i="4"/>
  <c r="C91" i="3"/>
  <c r="C96" i="3"/>
  <c r="C86" i="3"/>
  <c r="E38" i="2"/>
  <c r="C40" i="3"/>
  <c r="E32" i="2"/>
  <c r="E36" i="2"/>
  <c r="E37" i="2"/>
  <c r="E39" i="2"/>
  <c r="E43" i="2"/>
  <c r="E44" i="2"/>
  <c r="C162" i="3" l="1"/>
  <c r="C54" i="2" s="1"/>
  <c r="E34" i="3"/>
  <c r="C84" i="4"/>
  <c r="F19" i="2"/>
  <c r="D19" i="2" s="1"/>
  <c r="D20" i="2" s="1"/>
  <c r="F15" i="2"/>
  <c r="F44" i="2"/>
  <c r="D44" i="2" s="1"/>
  <c r="F43" i="2"/>
  <c r="D43" i="2" s="1"/>
  <c r="F38" i="2"/>
  <c r="D38" i="2" s="1"/>
  <c r="F28" i="2"/>
  <c r="D28" i="2" s="1"/>
  <c r="F24" i="2"/>
  <c r="D24" i="2" s="1"/>
  <c r="F21" i="2"/>
  <c r="D21" i="2" s="1"/>
  <c r="F40" i="2" l="1"/>
  <c r="E40" i="2" s="1"/>
  <c r="D32" i="2"/>
  <c r="F20" i="2"/>
  <c r="F17" i="2"/>
  <c r="E17" i="2" s="1"/>
  <c r="E41" i="2"/>
  <c r="F255" i="5"/>
  <c r="D255" i="5" l="1"/>
  <c r="E255" i="5"/>
  <c r="F10" i="1"/>
  <c r="F236" i="5"/>
  <c r="F235" i="5"/>
  <c r="E24" i="2"/>
  <c r="E28" i="2"/>
  <c r="E21" i="2"/>
  <c r="F139" i="3"/>
  <c r="E112" i="3"/>
  <c r="D112" i="3"/>
  <c r="F96" i="3"/>
  <c r="E96" i="3"/>
  <c r="D96" i="3"/>
  <c r="F109" i="5"/>
  <c r="E109" i="5" l="1"/>
  <c r="G192" i="6"/>
  <c r="D10" i="1"/>
  <c r="E10" i="1"/>
  <c r="D235" i="5"/>
  <c r="D236" i="5"/>
  <c r="F41" i="2"/>
  <c r="D41" i="2" s="1"/>
  <c r="D145" i="3"/>
  <c r="D139" i="3"/>
  <c r="F47" i="2" l="1"/>
  <c r="E47" i="2" s="1"/>
  <c r="F11" i="2"/>
  <c r="D11" i="2" s="1"/>
  <c r="D9" i="2"/>
  <c r="F16" i="1" l="1"/>
  <c r="D10" i="2"/>
  <c r="F306" i="5"/>
  <c r="E44" i="3" l="1"/>
  <c r="D44" i="3"/>
  <c r="D80" i="3" s="1"/>
  <c r="D16" i="1"/>
  <c r="E16" i="1"/>
  <c r="D306" i="5"/>
  <c r="F307" i="5"/>
  <c r="F8" i="2"/>
  <c r="F58" i="4"/>
  <c r="D58" i="4" s="1"/>
  <c r="F305" i="5"/>
  <c r="F304" i="5"/>
  <c r="F286" i="5"/>
  <c r="D286" i="5" s="1"/>
  <c r="F297" i="5"/>
  <c r="D297" i="5" s="1"/>
  <c r="F296" i="5"/>
  <c r="F44" i="4" s="1"/>
  <c r="F275" i="5"/>
  <c r="F274" i="5"/>
  <c r="F458" i="6"/>
  <c r="K24" i="7" l="1"/>
  <c r="F298" i="5"/>
  <c r="E80" i="3"/>
  <c r="K25" i="7"/>
  <c r="E14" i="2"/>
  <c r="D8" i="2"/>
  <c r="D14" i="2" s="1"/>
  <c r="F248" i="5"/>
  <c r="D248" i="5" s="1"/>
  <c r="E274" i="5"/>
  <c r="D274" i="5"/>
  <c r="E275" i="5"/>
  <c r="D275" i="5"/>
  <c r="D304" i="5"/>
  <c r="F54" i="4"/>
  <c r="D54" i="4" s="1"/>
  <c r="D307" i="5"/>
  <c r="D296" i="5"/>
  <c r="D298" i="5" s="1"/>
  <c r="D305" i="5"/>
  <c r="F247" i="5"/>
  <c r="E489" i="6"/>
  <c r="F276" i="5"/>
  <c r="E276" i="5" s="1"/>
  <c r="F234" i="5"/>
  <c r="F233" i="5"/>
  <c r="F232" i="5"/>
  <c r="F230" i="5"/>
  <c r="F229" i="5"/>
  <c r="K19" i="7"/>
  <c r="F203" i="5"/>
  <c r="F195" i="5"/>
  <c r="F196" i="5"/>
  <c r="G458" i="6" l="1"/>
  <c r="E298" i="5"/>
  <c r="G483" i="6"/>
  <c r="K20" i="7"/>
  <c r="F13" i="4"/>
  <c r="D13" i="4" s="1"/>
  <c r="F9" i="1"/>
  <c r="E248" i="5"/>
  <c r="D233" i="5"/>
  <c r="D195" i="5"/>
  <c r="E195" i="5"/>
  <c r="D229" i="5"/>
  <c r="D234" i="5"/>
  <c r="D218" i="5"/>
  <c r="D219" i="5" s="1"/>
  <c r="D230" i="5"/>
  <c r="D196" i="5"/>
  <c r="E203" i="5"/>
  <c r="D203" i="5"/>
  <c r="D232" i="5"/>
  <c r="E247" i="5"/>
  <c r="D247" i="5"/>
  <c r="D276" i="5"/>
  <c r="K22" i="7"/>
  <c r="G20" i="7"/>
  <c r="I20" i="7"/>
  <c r="F14" i="4"/>
  <c r="D14" i="4" s="1"/>
  <c r="F237" i="5"/>
  <c r="G379" i="6" s="1"/>
  <c r="F219" i="5"/>
  <c r="E219" i="5" s="1"/>
  <c r="F186" i="5"/>
  <c r="D186" i="5" s="1"/>
  <c r="D75" i="4" s="1"/>
  <c r="F185" i="5"/>
  <c r="F184" i="5"/>
  <c r="C312" i="6"/>
  <c r="F181" i="5"/>
  <c r="F169" i="5"/>
  <c r="F157" i="5"/>
  <c r="F175" i="6"/>
  <c r="F216" i="6"/>
  <c r="E258" i="6"/>
  <c r="F146" i="5"/>
  <c r="F145" i="5"/>
  <c r="D9" i="1" l="1"/>
  <c r="E9" i="1"/>
  <c r="E13" i="4"/>
  <c r="D169" i="5"/>
  <c r="E169" i="5"/>
  <c r="D184" i="5"/>
  <c r="D185" i="5"/>
  <c r="D181" i="5"/>
  <c r="F72" i="4"/>
  <c r="D145" i="5"/>
  <c r="E145" i="5"/>
  <c r="E146" i="5"/>
  <c r="D146" i="5"/>
  <c r="E157" i="5"/>
  <c r="D157" i="5"/>
  <c r="D237" i="5"/>
  <c r="I13" i="7"/>
  <c r="K13" i="7"/>
  <c r="F75" i="4"/>
  <c r="F118" i="5"/>
  <c r="F117" i="5"/>
  <c r="F113" i="5"/>
  <c r="G12" i="7" s="1"/>
  <c r="C200" i="6"/>
  <c r="G200" i="6" s="1"/>
  <c r="F95" i="5"/>
  <c r="F82" i="5"/>
  <c r="E82" i="5" s="1"/>
  <c r="F81" i="5"/>
  <c r="F80" i="5"/>
  <c r="F79" i="5"/>
  <c r="F78" i="5"/>
  <c r="F77" i="5"/>
  <c r="F49" i="5"/>
  <c r="F37" i="5"/>
  <c r="E37" i="5" s="1"/>
  <c r="F36" i="5"/>
  <c r="E36" i="5" s="1"/>
  <c r="F30" i="5"/>
  <c r="E30" i="5" s="1"/>
  <c r="F27" i="5"/>
  <c r="E77" i="5" l="1"/>
  <c r="K10" i="7"/>
  <c r="E72" i="4"/>
  <c r="D72" i="4"/>
  <c r="D78" i="5"/>
  <c r="E78" i="5"/>
  <c r="D113" i="5"/>
  <c r="E113" i="5"/>
  <c r="D79" i="5"/>
  <c r="E79" i="5"/>
  <c r="D95" i="5"/>
  <c r="E95" i="5"/>
  <c r="D117" i="5"/>
  <c r="D147" i="5"/>
  <c r="D49" i="5"/>
  <c r="D80" i="5"/>
  <c r="E80" i="5"/>
  <c r="E102" i="5"/>
  <c r="D102" i="5"/>
  <c r="D76" i="4" s="1"/>
  <c r="D118" i="5"/>
  <c r="D81" i="5"/>
  <c r="E81" i="5"/>
  <c r="D77" i="5"/>
  <c r="F76" i="5"/>
  <c r="F114" i="5"/>
  <c r="I12" i="7" s="1"/>
  <c r="D82" i="5"/>
  <c r="D37" i="5"/>
  <c r="D30" i="5"/>
  <c r="D36" i="5"/>
  <c r="F43" i="4"/>
  <c r="F49" i="4"/>
  <c r="F48" i="4"/>
  <c r="F50" i="4"/>
  <c r="F39" i="4"/>
  <c r="F76" i="4"/>
  <c r="E76" i="4" s="1"/>
  <c r="E50" i="4" l="1"/>
  <c r="D50" i="4"/>
  <c r="E48" i="4"/>
  <c r="D48" i="4"/>
  <c r="E49" i="4"/>
  <c r="D49" i="4"/>
  <c r="E43" i="4"/>
  <c r="D43" i="4"/>
  <c r="E114" i="5"/>
  <c r="D114" i="5"/>
  <c r="E76" i="5"/>
  <c r="D76" i="5"/>
  <c r="F19" i="1"/>
  <c r="E22" i="2"/>
  <c r="E23" i="2"/>
  <c r="E35" i="2"/>
  <c r="E34" i="2"/>
  <c r="E16" i="2"/>
  <c r="E11" i="2"/>
  <c r="E33" i="2"/>
  <c r="E31" i="2"/>
  <c r="E86" i="3" l="1"/>
  <c r="E48" i="2"/>
  <c r="D18" i="1" l="1"/>
  <c r="D160" i="3" l="1"/>
  <c r="D102" i="3"/>
  <c r="D128" i="3"/>
  <c r="E118" i="6"/>
  <c r="F18" i="1" l="1"/>
  <c r="F166" i="5" l="1"/>
  <c r="D166" i="5" l="1"/>
  <c r="F10" i="4"/>
  <c r="D10" i="4" s="1"/>
  <c r="F102" i="6"/>
  <c r="C233" i="6" l="1"/>
  <c r="E10" i="2" l="1"/>
  <c r="E8" i="2"/>
  <c r="D34" i="3"/>
  <c r="F75" i="5"/>
  <c r="F69" i="5"/>
  <c r="D69" i="5" s="1"/>
  <c r="F86" i="5" l="1"/>
  <c r="G156" i="6" s="1"/>
  <c r="E43" i="5"/>
  <c r="D43" i="5"/>
  <c r="D75" i="5"/>
  <c r="D86" i="5" s="1"/>
  <c r="F78" i="4"/>
  <c r="E78" i="4" s="1"/>
  <c r="E86" i="5" l="1"/>
  <c r="D78" i="4"/>
  <c r="F166" i="6"/>
  <c r="F169" i="6" s="1"/>
  <c r="C140" i="6"/>
  <c r="F70" i="5" s="1"/>
  <c r="D70" i="5" s="1"/>
  <c r="F135" i="6"/>
  <c r="F141" i="6" s="1"/>
  <c r="C168" i="6" l="1"/>
  <c r="E168" i="6" s="1"/>
  <c r="E441" i="6"/>
  <c r="F92" i="5"/>
  <c r="F96" i="5"/>
  <c r="F94" i="5"/>
  <c r="C136" i="6"/>
  <c r="K11" i="7" l="1"/>
  <c r="E94" i="5"/>
  <c r="D94" i="5"/>
  <c r="E96" i="5"/>
  <c r="D96" i="5"/>
  <c r="E92" i="5"/>
  <c r="D92" i="5"/>
  <c r="F338" i="6"/>
  <c r="F79" i="4" l="1"/>
  <c r="E79" i="4" s="1"/>
  <c r="F308" i="5" l="1"/>
  <c r="C468" i="6"/>
  <c r="F468" i="6" s="1"/>
  <c r="F463" i="6"/>
  <c r="F452" i="6"/>
  <c r="F241" i="5"/>
  <c r="H354" i="6"/>
  <c r="F309" i="6"/>
  <c r="F314" i="6" s="1"/>
  <c r="C241" i="6"/>
  <c r="F64" i="5"/>
  <c r="F32" i="5"/>
  <c r="E32" i="5" s="1"/>
  <c r="E31" i="5"/>
  <c r="I59" i="6"/>
  <c r="I90" i="6" s="1"/>
  <c r="F21" i="5"/>
  <c r="F15" i="5"/>
  <c r="F18" i="4" s="1"/>
  <c r="D18" i="4" s="1"/>
  <c r="F280" i="5"/>
  <c r="F261" i="5"/>
  <c r="D261" i="5" s="1"/>
  <c r="F260" i="5"/>
  <c r="D260" i="5" s="1"/>
  <c r="F258" i="5"/>
  <c r="D258" i="5" s="1"/>
  <c r="F257" i="5"/>
  <c r="F256" i="5"/>
  <c r="F253" i="5"/>
  <c r="F251" i="5"/>
  <c r="F209" i="5"/>
  <c r="F208" i="5"/>
  <c r="F205" i="5"/>
  <c r="F204" i="5"/>
  <c r="F202" i="5"/>
  <c r="F201" i="5"/>
  <c r="F198" i="5"/>
  <c r="F16" i="4" s="1"/>
  <c r="D16" i="4" s="1"/>
  <c r="F197" i="5"/>
  <c r="F193" i="5"/>
  <c r="F191" i="5"/>
  <c r="F180" i="5"/>
  <c r="F175" i="5"/>
  <c r="D175" i="5" s="1"/>
  <c r="F171" i="5"/>
  <c r="D171" i="5" s="1"/>
  <c r="F170" i="5"/>
  <c r="F159" i="5"/>
  <c r="F158" i="5"/>
  <c r="F136" i="5"/>
  <c r="F134" i="5"/>
  <c r="F132" i="5"/>
  <c r="F116" i="5"/>
  <c r="F115" i="5"/>
  <c r="F90" i="5"/>
  <c r="F66" i="5"/>
  <c r="F63" i="5"/>
  <c r="D63" i="5" s="1"/>
  <c r="F62" i="5"/>
  <c r="D62" i="5" s="1"/>
  <c r="F60" i="5"/>
  <c r="F50" i="5"/>
  <c r="F48" i="5"/>
  <c r="E48" i="5" s="1"/>
  <c r="F47" i="5"/>
  <c r="E47" i="5" s="1"/>
  <c r="F45" i="5"/>
  <c r="F29" i="5"/>
  <c r="F26" i="5"/>
  <c r="F25" i="5"/>
  <c r="F23" i="5"/>
  <c r="F22" i="5"/>
  <c r="F34" i="4" s="1"/>
  <c r="F20" i="5"/>
  <c r="F16" i="5"/>
  <c r="E16" i="5" s="1"/>
  <c r="D13" i="5"/>
  <c r="L18" i="1"/>
  <c r="F122" i="3"/>
  <c r="D122" i="3"/>
  <c r="E117" i="3"/>
  <c r="D117" i="3"/>
  <c r="F91" i="3"/>
  <c r="F162" i="3" s="1"/>
  <c r="E91" i="3"/>
  <c r="D91" i="3"/>
  <c r="D86" i="3"/>
  <c r="E40" i="3"/>
  <c r="F48" i="2"/>
  <c r="D48" i="2" s="1"/>
  <c r="F26" i="2"/>
  <c r="D26" i="2" s="1"/>
  <c r="F23" i="2"/>
  <c r="D23" i="2" s="1"/>
  <c r="F22" i="2"/>
  <c r="D162" i="3" l="1"/>
  <c r="F37" i="4"/>
  <c r="G11" i="7"/>
  <c r="F97" i="5"/>
  <c r="G169" i="6" s="1"/>
  <c r="C310" i="6"/>
  <c r="E310" i="6" s="1"/>
  <c r="K12" i="7"/>
  <c r="E20" i="5"/>
  <c r="K18" i="7"/>
  <c r="D60" i="5"/>
  <c r="K9" i="7"/>
  <c r="G18" i="7"/>
  <c r="K21" i="7"/>
  <c r="E21" i="5"/>
  <c r="F27" i="4"/>
  <c r="E29" i="5"/>
  <c r="F168" i="5"/>
  <c r="D168" i="5" s="1"/>
  <c r="F30" i="2"/>
  <c r="E30" i="2" s="1"/>
  <c r="D22" i="2"/>
  <c r="E162" i="3"/>
  <c r="D22" i="5"/>
  <c r="E22" i="5"/>
  <c r="D116" i="5"/>
  <c r="D158" i="5"/>
  <c r="E158" i="5"/>
  <c r="D197" i="5"/>
  <c r="E197" i="5"/>
  <c r="E202" i="5"/>
  <c r="D202" i="5"/>
  <c r="E208" i="5"/>
  <c r="D208" i="5"/>
  <c r="E256" i="5"/>
  <c r="D256" i="5"/>
  <c r="D178" i="5"/>
  <c r="E178" i="5"/>
  <c r="D241" i="5"/>
  <c r="D242" i="5" s="1"/>
  <c r="E241" i="5"/>
  <c r="F309" i="5"/>
  <c r="D308" i="5"/>
  <c r="D309" i="5" s="1"/>
  <c r="D23" i="5"/>
  <c r="E23" i="5"/>
  <c r="D50" i="5"/>
  <c r="E50" i="5"/>
  <c r="E66" i="5"/>
  <c r="D66" i="5"/>
  <c r="E132" i="5"/>
  <c r="D132" i="5"/>
  <c r="E159" i="5"/>
  <c r="D159" i="5"/>
  <c r="D180" i="5"/>
  <c r="E180" i="5"/>
  <c r="E198" i="5"/>
  <c r="D198" i="5"/>
  <c r="E204" i="5"/>
  <c r="D204" i="5"/>
  <c r="E209" i="5"/>
  <c r="D209" i="5"/>
  <c r="E257" i="5"/>
  <c r="D257" i="5"/>
  <c r="F46" i="5"/>
  <c r="E46" i="5" s="1"/>
  <c r="D45" i="5"/>
  <c r="D46" i="5" s="1"/>
  <c r="E170" i="5"/>
  <c r="D170" i="5"/>
  <c r="D251" i="5"/>
  <c r="E251" i="5"/>
  <c r="K18" i="1"/>
  <c r="J18" i="1"/>
  <c r="E90" i="5"/>
  <c r="D90" i="5"/>
  <c r="D97" i="5" s="1"/>
  <c r="E134" i="5"/>
  <c r="D134" i="5"/>
  <c r="E191" i="5"/>
  <c r="D191" i="5"/>
  <c r="E205" i="5"/>
  <c r="D205" i="5"/>
  <c r="D33" i="5"/>
  <c r="E33" i="5"/>
  <c r="E174" i="5"/>
  <c r="D174" i="5"/>
  <c r="E206" i="5"/>
  <c r="D206" i="5"/>
  <c r="D115" i="5"/>
  <c r="E136" i="5"/>
  <c r="D136" i="5"/>
  <c r="D193" i="5"/>
  <c r="E193" i="5"/>
  <c r="D201" i="5"/>
  <c r="E201" i="5"/>
  <c r="E207" i="5"/>
  <c r="D207" i="5"/>
  <c r="E253" i="5"/>
  <c r="D253" i="5"/>
  <c r="E64" i="5"/>
  <c r="D64" i="5"/>
  <c r="D15" i="5"/>
  <c r="E15" i="5"/>
  <c r="D32" i="5"/>
  <c r="F45" i="4"/>
  <c r="D16" i="5"/>
  <c r="F19" i="4"/>
  <c r="D19" i="4" s="1"/>
  <c r="F40" i="4"/>
  <c r="D21" i="5"/>
  <c r="F51" i="5"/>
  <c r="E51" i="5" s="1"/>
  <c r="F24" i="5"/>
  <c r="F36" i="4" s="1"/>
  <c r="D20" i="5"/>
  <c r="D31" i="5"/>
  <c r="D47" i="5"/>
  <c r="D29" i="5"/>
  <c r="D48" i="5"/>
  <c r="F46" i="4"/>
  <c r="F68" i="4"/>
  <c r="F11" i="4"/>
  <c r="D11" i="4" s="1"/>
  <c r="D109" i="5"/>
  <c r="F35" i="4"/>
  <c r="F23" i="4"/>
  <c r="D23" i="4" s="1"/>
  <c r="F38" i="4"/>
  <c r="F66" i="4"/>
  <c r="I17" i="7"/>
  <c r="F55" i="4"/>
  <c r="D55" i="4" s="1"/>
  <c r="K17" i="7"/>
  <c r="L17" i="1"/>
  <c r="F133" i="5"/>
  <c r="E228" i="6"/>
  <c r="D47" i="2"/>
  <c r="E9" i="2"/>
  <c r="F28" i="5"/>
  <c r="F287" i="5"/>
  <c r="D287" i="5"/>
  <c r="F242" i="5"/>
  <c r="F80" i="4"/>
  <c r="L20" i="1"/>
  <c r="J20" i="1" s="1"/>
  <c r="F17" i="1"/>
  <c r="F11" i="1"/>
  <c r="D11" i="1" s="1"/>
  <c r="F101" i="5"/>
  <c r="F103" i="5" s="1"/>
  <c r="F160" i="5"/>
  <c r="F71" i="5"/>
  <c r="E241" i="6"/>
  <c r="F137" i="5"/>
  <c r="F183" i="5"/>
  <c r="E444" i="6"/>
  <c r="F444" i="6"/>
  <c r="F259" i="5" s="1"/>
  <c r="D259" i="5" s="1"/>
  <c r="F182" i="5"/>
  <c r="F469" i="6"/>
  <c r="F281" i="5"/>
  <c r="F52" i="4"/>
  <c r="D52" i="4" s="1"/>
  <c r="F200" i="5"/>
  <c r="I18" i="7" s="1"/>
  <c r="F121" i="6"/>
  <c r="E136" i="6"/>
  <c r="F64" i="4"/>
  <c r="F138" i="5"/>
  <c r="F123" i="6" l="1"/>
  <c r="F503" i="6" s="1"/>
  <c r="F38" i="5"/>
  <c r="E309" i="5"/>
  <c r="G499" i="6"/>
  <c r="E71" i="5"/>
  <c r="G141" i="6"/>
  <c r="E242" i="5"/>
  <c r="G402" i="6"/>
  <c r="F18" i="5"/>
  <c r="F42" i="4"/>
  <c r="F15" i="4"/>
  <c r="E168" i="5"/>
  <c r="D138" i="5"/>
  <c r="F73" i="4"/>
  <c r="F139" i="5"/>
  <c r="C122" i="6"/>
  <c r="E122" i="6" s="1"/>
  <c r="E17" i="1"/>
  <c r="D17" i="1"/>
  <c r="E64" i="4"/>
  <c r="D64" i="4"/>
  <c r="E18" i="4"/>
  <c r="E68" i="4"/>
  <c r="D68" i="4"/>
  <c r="E46" i="4"/>
  <c r="D46" i="4"/>
  <c r="E40" i="4"/>
  <c r="D40" i="4"/>
  <c r="E45" i="4"/>
  <c r="D45" i="4"/>
  <c r="E44" i="4"/>
  <c r="D44" i="4"/>
  <c r="E34" i="4"/>
  <c r="D34" i="4"/>
  <c r="E19" i="4"/>
  <c r="E66" i="4"/>
  <c r="D66" i="4"/>
  <c r="E35" i="4"/>
  <c r="D35" i="4"/>
  <c r="E11" i="4"/>
  <c r="E16" i="4"/>
  <c r="D59" i="4"/>
  <c r="F70" i="4"/>
  <c r="E183" i="5"/>
  <c r="D183" i="5"/>
  <c r="F41" i="4"/>
  <c r="E28" i="5"/>
  <c r="E200" i="5"/>
  <c r="D200" i="5"/>
  <c r="D214" i="5" s="1"/>
  <c r="F69" i="4"/>
  <c r="D182" i="5"/>
  <c r="E182" i="5"/>
  <c r="D160" i="5"/>
  <c r="D161" i="5" s="1"/>
  <c r="E160" i="5"/>
  <c r="D133" i="5"/>
  <c r="E133" i="5"/>
  <c r="E23" i="4"/>
  <c r="E24" i="5"/>
  <c r="F71" i="4"/>
  <c r="D137" i="5"/>
  <c r="D101" i="5"/>
  <c r="D103" i="5" s="1"/>
  <c r="J17" i="1"/>
  <c r="K17" i="1"/>
  <c r="D172" i="5"/>
  <c r="E172" i="5"/>
  <c r="E176" i="5"/>
  <c r="D176" i="5"/>
  <c r="D24" i="5"/>
  <c r="D71" i="5"/>
  <c r="D51" i="5"/>
  <c r="D28" i="5"/>
  <c r="D40" i="2"/>
  <c r="F214" i="5"/>
  <c r="F14" i="5"/>
  <c r="F59" i="4"/>
  <c r="E59" i="4" s="1"/>
  <c r="D119" i="5"/>
  <c r="K14" i="7"/>
  <c r="F50" i="2"/>
  <c r="E50" i="2" s="1"/>
  <c r="E278" i="6"/>
  <c r="D30" i="2"/>
  <c r="E423" i="6"/>
  <c r="F161" i="5"/>
  <c r="G259" i="6" s="1"/>
  <c r="F12" i="1"/>
  <c r="D17" i="2"/>
  <c r="F13" i="1"/>
  <c r="F60" i="4"/>
  <c r="D60" i="4" s="1"/>
  <c r="L19" i="1"/>
  <c r="J19" i="1" s="1"/>
  <c r="L21" i="1"/>
  <c r="F119" i="5"/>
  <c r="F282" i="5"/>
  <c r="D282" i="5"/>
  <c r="L14" i="1"/>
  <c r="F165" i="5"/>
  <c r="G17" i="7" s="1"/>
  <c r="F246" i="5"/>
  <c r="F53" i="5"/>
  <c r="D53" i="5" s="1"/>
  <c r="F52" i="5"/>
  <c r="F10" i="5"/>
  <c r="G21" i="7" l="1"/>
  <c r="E139" i="5"/>
  <c r="G234" i="6"/>
  <c r="E214" i="5"/>
  <c r="G361" i="6"/>
  <c r="E103" i="5"/>
  <c r="G175" i="6"/>
  <c r="E119" i="5"/>
  <c r="G206" i="6"/>
  <c r="F505" i="6"/>
  <c r="E15" i="4"/>
  <c r="D15" i="4"/>
  <c r="E73" i="4"/>
  <c r="D73" i="4"/>
  <c r="D50" i="2"/>
  <c r="D54" i="2" s="1"/>
  <c r="E13" i="1"/>
  <c r="D13" i="1"/>
  <c r="E12" i="1"/>
  <c r="D12" i="1"/>
  <c r="E27" i="4"/>
  <c r="D27" i="4"/>
  <c r="E70" i="4"/>
  <c r="D70" i="4"/>
  <c r="E42" i="4"/>
  <c r="D42" i="4"/>
  <c r="E36" i="4"/>
  <c r="D36" i="4"/>
  <c r="E69" i="4"/>
  <c r="D69" i="4"/>
  <c r="E41" i="4"/>
  <c r="D41" i="4"/>
  <c r="D71" i="4"/>
  <c r="F74" i="4"/>
  <c r="E74" i="4" s="1"/>
  <c r="K16" i="7"/>
  <c r="E161" i="5"/>
  <c r="J14" i="1"/>
  <c r="K14" i="1"/>
  <c r="J21" i="1"/>
  <c r="K21" i="1"/>
  <c r="D14" i="5"/>
  <c r="E14" i="5"/>
  <c r="F187" i="5"/>
  <c r="D165" i="5"/>
  <c r="D187" i="5" s="1"/>
  <c r="E165" i="5"/>
  <c r="D10" i="5"/>
  <c r="F8" i="4"/>
  <c r="E246" i="5"/>
  <c r="D246" i="5"/>
  <c r="F17" i="5"/>
  <c r="D52" i="5"/>
  <c r="D54" i="5" s="1"/>
  <c r="F54" i="5"/>
  <c r="F17" i="4"/>
  <c r="D17" i="4" s="1"/>
  <c r="F250" i="5"/>
  <c r="F262" i="5" s="1"/>
  <c r="D139" i="5"/>
  <c r="F9" i="4"/>
  <c r="D9" i="4" s="1"/>
  <c r="K23" i="7"/>
  <c r="F15" i="1"/>
  <c r="E15" i="1" s="1"/>
  <c r="F54" i="2"/>
  <c r="D65" i="4"/>
  <c r="F65" i="4"/>
  <c r="E65" i="4" s="1"/>
  <c r="L12" i="1"/>
  <c r="J12" i="1" s="1"/>
  <c r="F147" i="5"/>
  <c r="E147" i="5" l="1"/>
  <c r="G242" i="6"/>
  <c r="E187" i="5"/>
  <c r="G314" i="6"/>
  <c r="D15" i="1"/>
  <c r="D22" i="1" s="1"/>
  <c r="G447" i="6"/>
  <c r="F21" i="4"/>
  <c r="D21" i="4" s="1"/>
  <c r="K8" i="7"/>
  <c r="K26" i="7" s="1"/>
  <c r="E17" i="5"/>
  <c r="G8" i="7"/>
  <c r="G26" i="7" s="1"/>
  <c r="E17" i="4"/>
  <c r="E9" i="4"/>
  <c r="E8" i="4"/>
  <c r="D8" i="4"/>
  <c r="E34" i="5"/>
  <c r="E18" i="5"/>
  <c r="E250" i="5"/>
  <c r="D250" i="5"/>
  <c r="D262" i="5" s="1"/>
  <c r="D17" i="5"/>
  <c r="K12" i="1"/>
  <c r="D18" i="5"/>
  <c r="F19" i="5"/>
  <c r="I8" i="7" s="1"/>
  <c r="D34" i="5"/>
  <c r="F20" i="4"/>
  <c r="I21" i="7"/>
  <c r="F165" i="3"/>
  <c r="F47" i="4"/>
  <c r="L13" i="1"/>
  <c r="D47" i="4" l="1"/>
  <c r="D51" i="4" s="1"/>
  <c r="F51" i="4"/>
  <c r="E51" i="4" s="1"/>
  <c r="E38" i="5"/>
  <c r="I26" i="7"/>
  <c r="E262" i="5"/>
  <c r="D20" i="4"/>
  <c r="J13" i="1"/>
  <c r="K13" i="1"/>
  <c r="D38" i="5"/>
  <c r="E20" i="4"/>
  <c r="L9" i="1"/>
  <c r="K9" i="1" s="1"/>
  <c r="F56" i="5"/>
  <c r="E19" i="5"/>
  <c r="D19" i="5"/>
  <c r="D22" i="4"/>
  <c r="F22" i="4"/>
  <c r="E22" i="4" s="1"/>
  <c r="E21" i="4"/>
  <c r="E47" i="4"/>
  <c r="D74" i="4"/>
  <c r="F22" i="1"/>
  <c r="E22" i="1" s="1"/>
  <c r="L16" i="1"/>
  <c r="J16" i="1" s="1"/>
  <c r="E97" i="5"/>
  <c r="F81" i="4" l="1"/>
  <c r="E81" i="4" s="1"/>
  <c r="G123" i="6"/>
  <c r="F313" i="5"/>
  <c r="F315" i="5" s="1"/>
  <c r="E56" i="5"/>
  <c r="D56" i="5"/>
  <c r="D313" i="5" s="1"/>
  <c r="L10" i="1"/>
  <c r="K10" i="1" s="1"/>
  <c r="D81" i="4"/>
  <c r="K16" i="1"/>
  <c r="L11" i="1"/>
  <c r="D84" i="4" l="1"/>
  <c r="J10" i="1"/>
  <c r="K11" i="1"/>
  <c r="J11" i="1"/>
  <c r="E313" i="5" l="1"/>
  <c r="F84" i="4" l="1"/>
  <c r="L15" i="1"/>
  <c r="J9" i="1"/>
  <c r="L22" i="1" l="1"/>
  <c r="K22" i="1" s="1"/>
  <c r="K15" i="1"/>
  <c r="J15" i="1"/>
  <c r="J22" i="1" s="1"/>
  <c r="F27" i="1" l="1"/>
</calcChain>
</file>

<file path=xl/sharedStrings.xml><?xml version="1.0" encoding="utf-8"?>
<sst xmlns="http://schemas.openxmlformats.org/spreadsheetml/2006/main" count="2046" uniqueCount="730">
  <si>
    <t>Önkormányzati bevételek és kiadások összesen</t>
  </si>
  <si>
    <t>adatok: ezer Ft-ban</t>
  </si>
  <si>
    <t>Bevételek</t>
  </si>
  <si>
    <t>Kiadások</t>
  </si>
  <si>
    <t>Nyt.szla</t>
  </si>
  <si>
    <t>Megnevezés</t>
  </si>
  <si>
    <t>0911</t>
  </si>
  <si>
    <t>Önkormányzatok működési támogatása</t>
  </si>
  <si>
    <t>051</t>
  </si>
  <si>
    <t>Személyi juttatások</t>
  </si>
  <si>
    <t>0916</t>
  </si>
  <si>
    <t>Egyéb műk-i célú tám. ÁH-on belülről</t>
  </si>
  <si>
    <t>052</t>
  </si>
  <si>
    <t>Munkaadót terhelő járulékok</t>
  </si>
  <si>
    <t>092</t>
  </si>
  <si>
    <t>Felhalmozási c. tám. ÁH-on belülről</t>
  </si>
  <si>
    <t>053</t>
  </si>
  <si>
    <t>Dologi kiadások</t>
  </si>
  <si>
    <t>093</t>
  </si>
  <si>
    <t>Közhatalmi bevételek</t>
  </si>
  <si>
    <t>054</t>
  </si>
  <si>
    <t>Szociális juttatások</t>
  </si>
  <si>
    <t>094</t>
  </si>
  <si>
    <t>Működési bevételek</t>
  </si>
  <si>
    <t>055</t>
  </si>
  <si>
    <t>Átadott pénzeszközök</t>
  </si>
  <si>
    <t>0952</t>
  </si>
  <si>
    <t>Felhalmozási bevételek</t>
  </si>
  <si>
    <t>059</t>
  </si>
  <si>
    <t>Irányítószervi támogatás</t>
  </si>
  <si>
    <t>Tárgyévi működési kiadások</t>
  </si>
  <si>
    <t>09813</t>
  </si>
  <si>
    <t>Önkorm. Pénzmaradványa igénybevét.</t>
  </si>
  <si>
    <t>056-057</t>
  </si>
  <si>
    <t>Fejlesztés, felújítás</t>
  </si>
  <si>
    <t>055131</t>
  </si>
  <si>
    <t>Céltartalék (elköt.pm.terhére)</t>
  </si>
  <si>
    <t>Általános tartalék</t>
  </si>
  <si>
    <t>Likvidtartalék</t>
  </si>
  <si>
    <t>058</t>
  </si>
  <si>
    <t>EU-s pályázati visszafizetés</t>
  </si>
  <si>
    <t>059141</t>
  </si>
  <si>
    <t>ÁHT-n belüli megelőlegezés visszafiz.</t>
  </si>
  <si>
    <t>Mindösszesen</t>
  </si>
  <si>
    <t>I/2.számú melléklet</t>
  </si>
  <si>
    <t>adatok: Ft-ban</t>
  </si>
  <si>
    <t>Főkönyvi szám</t>
  </si>
  <si>
    <t>Főkönyvi szám neve</t>
  </si>
  <si>
    <t>Eredeti előirányzat</t>
  </si>
  <si>
    <t>091111</t>
  </si>
  <si>
    <t>Helyi önkormányzatok működésének általános támogatása</t>
  </si>
  <si>
    <t>091121</t>
  </si>
  <si>
    <t>Települési önkormányzatok egyes köznevelési feladatainak támogatása</t>
  </si>
  <si>
    <t>091131</t>
  </si>
  <si>
    <t>Települési önkormányzatok szociális, gyermekjóléti és gyermekétkeztetési feladatainak támogatása</t>
  </si>
  <si>
    <t>091141</t>
  </si>
  <si>
    <t>Települési önkormányzatok kulturális feladatainak támogatása</t>
  </si>
  <si>
    <t>091151</t>
  </si>
  <si>
    <t>Működési célú költségvetési támogatások és kiegészítő támogatások</t>
  </si>
  <si>
    <t>0911   Önkormányzatok működési támogatása</t>
  </si>
  <si>
    <t>0916071</t>
  </si>
  <si>
    <t>Egyéb működési célú támogatások bevételei államháztartáson belülről-helyi önkormányzatok és költségvetési szerveik</t>
  </si>
  <si>
    <t>09161</t>
  </si>
  <si>
    <t>Egyéb működési célú támogatások bevételei államháztartáson belülről</t>
  </si>
  <si>
    <t>0916   Egyéb működési célú támogatások bevételei ÁH-on belülről</t>
  </si>
  <si>
    <t>09213</t>
  </si>
  <si>
    <t>093432</t>
  </si>
  <si>
    <t>Magánszemélyek kommunális adója</t>
  </si>
  <si>
    <t>09351071</t>
  </si>
  <si>
    <t>Állandó jelleggel végzett iparűzési tevékenység után fizetett helyi adó</t>
  </si>
  <si>
    <t>0935411</t>
  </si>
  <si>
    <t>Belföldi gépjárművek adójának  a helyi önkormányzatot megillető része</t>
  </si>
  <si>
    <t>0936112</t>
  </si>
  <si>
    <t>Szabálysértési pénz- és helyszíni bírság és a közlekedési szabályszegések után kiszabott közigazgatási bírság helyi önkormányzatot megillető része</t>
  </si>
  <si>
    <t>0936121</t>
  </si>
  <si>
    <t>Egyéb bírság</t>
  </si>
  <si>
    <t>0936162</t>
  </si>
  <si>
    <t>Egyéb közhatalmi bevétel</t>
  </si>
  <si>
    <t>0936172</t>
  </si>
  <si>
    <t>Késedelmi és önellenőrzési pótlék</t>
  </si>
  <si>
    <t>09362</t>
  </si>
  <si>
    <t>Egyéb közhatalmi bevételek</t>
  </si>
  <si>
    <t>093   Közhatalmi bevételek</t>
  </si>
  <si>
    <t>094022</t>
  </si>
  <si>
    <t>Szolgáltatások ellenértéke</t>
  </si>
  <si>
    <t>094041</t>
  </si>
  <si>
    <t>Tulajdonosi bevételek</t>
  </si>
  <si>
    <t>094051</t>
  </si>
  <si>
    <t>Ellátási díjak</t>
  </si>
  <si>
    <t>094061</t>
  </si>
  <si>
    <t>Kiszámlázott általános forgalmi adó</t>
  </si>
  <si>
    <t>094071</t>
  </si>
  <si>
    <t>Általános forgalmi adó visszatérítése</t>
  </si>
  <si>
    <t>094082</t>
  </si>
  <si>
    <t>Kamatbevételek</t>
  </si>
  <si>
    <t>094111</t>
  </si>
  <si>
    <t>Egyéb működési bevételek</t>
  </si>
  <si>
    <t>0941142</t>
  </si>
  <si>
    <t>1 és 2 forintos érmék forgalomból történő kivonása miatti kerekítési különbözet</t>
  </si>
  <si>
    <t>094   Működési bevételek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</si>
  <si>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</si>
  <si>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</si>
  <si>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</si>
  <si>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</si>
  <si>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0965091</t>
  </si>
  <si>
    <t>Egyéb működési célú átvett pénzeszközök-Európai Unió</t>
  </si>
  <si>
    <t>Egyéb felhalmozási célú átvett pénzeszközök-háztartások</t>
  </si>
  <si>
    <t>0925031</t>
  </si>
  <si>
    <t>Egyéb felhalmozási célú támogatások bevételei államháztartáson belülről-fejezeti kezelésű előirányzatok EU-s programok és azok hazai társfinanszírozása</t>
  </si>
  <si>
    <t>0952 Felhalmozási bevételek</t>
  </si>
  <si>
    <t>0981311</t>
  </si>
  <si>
    <t>Előző év költségvetési maradványának igénybevétele</t>
  </si>
  <si>
    <t>Bevételek összesen</t>
  </si>
  <si>
    <t>I/2.a) számú melléklet</t>
  </si>
  <si>
    <t>Bevételek kormányati funkciók (COFOG) szerinti bontásban</t>
  </si>
  <si>
    <t>011130 - Önkormányzatok és önkormányzati hivatalok jogalkotó és általános igazgatási tevékenysége</t>
  </si>
  <si>
    <t>09361</t>
  </si>
  <si>
    <t>Egyéb bírság bevételei (Vízmű)</t>
  </si>
  <si>
    <t>09363</t>
  </si>
  <si>
    <t>094062</t>
  </si>
  <si>
    <t>Bevétel összesen:</t>
  </si>
  <si>
    <t>013320 - Köztemető-fenntartás és -működtetés</t>
  </si>
  <si>
    <t>018010 - Önkormányzatok elszámolásai a központi költségvetéssel</t>
  </si>
  <si>
    <t>ebből: zöldterület-gazdálkodással kapcsolatos feladatok ellátásának támogatása</t>
  </si>
  <si>
    <t>ebből: közvilágítás fenntartásának támogatása</t>
  </si>
  <si>
    <t>ebből: köztemető fenntartással kapcs. feladatok támog.</t>
  </si>
  <si>
    <t>ebből: közutak fenntartásának támogatása</t>
  </si>
  <si>
    <t>ebből: polgármesteri illetmény támogatása</t>
  </si>
  <si>
    <t>Települési önkormányzatok egyes köznevelési feladatainak támogatása (óvoda fenntartás)</t>
  </si>
  <si>
    <t>ebből: szociális feladatok egyéb támogatása</t>
  </si>
  <si>
    <t>ebből: finanszírozás szempontjából elismert dolgozók bértámogatása</t>
  </si>
  <si>
    <t>ebből: gyermekétkeztetés üzemeltetési támogatása</t>
  </si>
  <si>
    <t>ebből: rászoruló gyermekek szünidei étekztetésének tám.</t>
  </si>
  <si>
    <t>018030 - Támogatási célú finanszírozási műveletek</t>
  </si>
  <si>
    <t>052020 - Szennyvíz gyűjtése, tisztítása, elhelyezése</t>
  </si>
  <si>
    <t>074031 - Család és nővédelmi egészségügyi gondozás</t>
  </si>
  <si>
    <t>Egyéb működési célú támogatások bevételei államháztartáson belülről (OEP védőnő)</t>
  </si>
  <si>
    <t>096015 - Gyermekétkeztetés köznevelési intézményben</t>
  </si>
  <si>
    <t>900020 - Önkormányzatok funkcióira nem sorolható bevételei államháztartáson kívülről</t>
  </si>
  <si>
    <t>104051 - Gyermekvédelmi pénzbeli és természetbeni ellátások</t>
  </si>
  <si>
    <t>Összes COFOG szerinti bevétel:</t>
  </si>
  <si>
    <t>I/3. számú melléklet</t>
  </si>
  <si>
    <t>05110111</t>
  </si>
  <si>
    <t>Köztisztviselők,közalkalmazottak bére</t>
  </si>
  <si>
    <t>05110131</t>
  </si>
  <si>
    <t>MT alapján teljes, részmunkaidős bére</t>
  </si>
  <si>
    <t>0511091</t>
  </si>
  <si>
    <t>Közlekedési költségtérítés</t>
  </si>
  <si>
    <t>0511101</t>
  </si>
  <si>
    <t>Egyéb költségtérítések</t>
  </si>
  <si>
    <t>0511131</t>
  </si>
  <si>
    <t>Foglalkoztatottak egyéb személyi juttatásai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</si>
  <si>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</si>
  <si>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</si>
  <si>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</si>
  <si>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</si>
  <si>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0512361</t>
  </si>
  <si>
    <t>Reprezentáció, üzleti ajándék</t>
  </si>
  <si>
    <t>05211</t>
  </si>
  <si>
    <t>Szociális hozzájárulási adó</t>
  </si>
  <si>
    <t>05261</t>
  </si>
  <si>
    <t>Más járulék fizetési kötelezettség</t>
  </si>
  <si>
    <t>053111</t>
  </si>
  <si>
    <t>Szakmai anyagok beszerzése</t>
  </si>
  <si>
    <t>0531111</t>
  </si>
  <si>
    <t>Gyógyszer</t>
  </si>
  <si>
    <t>0531121</t>
  </si>
  <si>
    <t>Könyv, folyóirat</t>
  </si>
  <si>
    <t>0531141</t>
  </si>
  <si>
    <t>Informatikai eszközök</t>
  </si>
  <si>
    <t>053121</t>
  </si>
  <si>
    <t>Üzemeltetési anyagok beszerzése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</si>
  <si>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</si>
  <si>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</si>
  <si>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</si>
  <si>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</si>
  <si>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</si>
  <si>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</si>
  <si>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</si>
  <si>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</si>
  <si>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</si>
  <si>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</si>
  <si>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</si>
  <si>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</si>
  <si>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0532111</t>
  </si>
  <si>
    <t>0532211</t>
  </si>
  <si>
    <t>Telefon, telefax, telex, mobíl díj</t>
  </si>
  <si>
    <t>053311</t>
  </si>
  <si>
    <t>Közüzemidíjak</t>
  </si>
  <si>
    <t>0533111</t>
  </si>
  <si>
    <t>ebből: villamos energia</t>
  </si>
  <si>
    <t>0533121</t>
  </si>
  <si>
    <t>ebből: gázdíj</t>
  </si>
  <si>
    <t>0533131</t>
  </si>
  <si>
    <t>ebből: víz- és csatornadíj</t>
  </si>
  <si>
    <t>053321</t>
  </si>
  <si>
    <t>Vásárolt élelmezés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</si>
  <si>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</si>
  <si>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</si>
  <si>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</si>
  <si>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</si>
  <si>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</si>
  <si>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</si>
  <si>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0533621</t>
  </si>
  <si>
    <t>Más szakmai tevékenység</t>
  </si>
  <si>
    <t>053371</t>
  </si>
  <si>
    <t>Egyéb szolgáltatások</t>
  </si>
  <si>
    <t>Postaköltség</t>
  </si>
  <si>
    <t>Biztosítási díjak</t>
  </si>
  <si>
    <t>0533791</t>
  </si>
  <si>
    <t>Más egyéb szolgáltatások</t>
  </si>
  <si>
    <t>0534111</t>
  </si>
  <si>
    <t>Foglalkoztatottak kiküldetései</t>
  </si>
  <si>
    <t>053511</t>
  </si>
  <si>
    <t>Műk-i célú előzetesen felszámított áfa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</si>
  <si>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</si>
  <si>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</si>
  <si>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</si>
  <si>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</si>
  <si>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</si>
  <si>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</si>
  <si>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05421</t>
  </si>
  <si>
    <t>Egyéb pénzbeni és természetbeni gyermekvédelmi ell.</t>
  </si>
  <si>
    <t>05471</t>
  </si>
  <si>
    <t>Intézményi ellátottak pénzbeli juttatásai</t>
  </si>
  <si>
    <t>0548</t>
  </si>
  <si>
    <t>054831</t>
  </si>
  <si>
    <t>Egyéb, Önkormányzat rendeletében megállapított juttatás</t>
  </si>
  <si>
    <t>054851</t>
  </si>
  <si>
    <t>054861</t>
  </si>
  <si>
    <t>Temetési segély [Szoctv. 46. §]</t>
  </si>
  <si>
    <t>055061</t>
  </si>
  <si>
    <t>0550211</t>
  </si>
  <si>
    <t>A helyi önkormányzatok előző évi elszámolásából származó kiadások</t>
  </si>
  <si>
    <t>05506071</t>
  </si>
  <si>
    <t>Egyéb működési célú támogatások államháztartáson belülre-helyi önkormányzatok és költségvetési szerveik</t>
  </si>
  <si>
    <t>Egyéb működési célú támogatások ÁH-on belülre</t>
  </si>
  <si>
    <t>055081</t>
  </si>
  <si>
    <t>Működési célú visszatérítendő támogatások, kölcsönök nyújtása államháztartáson kívülre</t>
  </si>
  <si>
    <t>055121</t>
  </si>
  <si>
    <t>Egyéb működési célú támogatások ÁH-on kívülre</t>
  </si>
  <si>
    <t>05612</t>
  </si>
  <si>
    <t>Immateriális javak beszerzése, létesítése</t>
  </si>
  <si>
    <t>05621</t>
  </si>
  <si>
    <t>Ingatlanok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</si>
  <si>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</si>
  <si>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</si>
  <si>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</si>
  <si>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</si>
  <si>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</si>
  <si>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Beruházási célú előzetesen felszámított áfa</t>
  </si>
  <si>
    <t>05711</t>
  </si>
  <si>
    <t>Ingatlanok felújítása</t>
  </si>
  <si>
    <t>05731</t>
  </si>
  <si>
    <t>Egyéb tárgyi eszközök felújítása</t>
  </si>
  <si>
    <t>05741</t>
  </si>
  <si>
    <t>Felújítási célú előzetesen felszámított áfa</t>
  </si>
  <si>
    <t>Fejlesztések</t>
  </si>
  <si>
    <t>05841</t>
  </si>
  <si>
    <t>Államháztartáson belüli megelőlegezések visszafizetése</t>
  </si>
  <si>
    <t>059151</t>
  </si>
  <si>
    <t>Központi, irányító szervi támogatás folyósítása</t>
  </si>
  <si>
    <t>Tartalékok (általános)</t>
  </si>
  <si>
    <t>Tartalékok (elköt.pénzm..terh.)</t>
  </si>
  <si>
    <t>Kiadások összesen</t>
  </si>
  <si>
    <t>I/3.a) számú melléklet</t>
  </si>
  <si>
    <t>Kiadások kormányati funkciók (COFOG) szerinti bontásban</t>
  </si>
  <si>
    <t>Törvény szerinti illetmények</t>
  </si>
  <si>
    <t>Villamos energia</t>
  </si>
  <si>
    <t>Gázdíj</t>
  </si>
  <si>
    <t>05341</t>
  </si>
  <si>
    <t>Működési célú előzetesen felszámított általános forgalmi adó</t>
  </si>
  <si>
    <t>Egyéb működési célú támogatások államháztartáson belülre</t>
  </si>
  <si>
    <t>Működési célú vissza nem térítendő támogatások, kölcsönök nyújtása államháztartáson kívülre</t>
  </si>
  <si>
    <t>Tartalékok</t>
  </si>
  <si>
    <t>Tartalékok (elköt. pénzmaradv. terhére)</t>
  </si>
  <si>
    <t>Beruházási célú előzetesen felszámított általános forgalmi adó</t>
  </si>
  <si>
    <t>Felújítási célú előzetesen felszámított általános forgalmi adó</t>
  </si>
  <si>
    <t xml:space="preserve">Fejezeti kezelésű EI-nak EU-s programokra nyújtott felhalmozási célú támogatás </t>
  </si>
  <si>
    <t>Kiadás összesen:</t>
  </si>
  <si>
    <t>Víz- és csatornadíj</t>
  </si>
  <si>
    <t>Beruházás</t>
  </si>
  <si>
    <t>013350 - Az önkormányzati vagyonnal való gazdálkodással kapcsolatos feladatok</t>
  </si>
  <si>
    <t>016080 - Kiemelt állami és önkormányzati rendezvények</t>
  </si>
  <si>
    <t>Helyi önkormányzatok előző évi elszámolásából származó kiadások</t>
  </si>
  <si>
    <t>045160 - Közutak, hidak, alagutak üzemeltetése, fenntartása</t>
  </si>
  <si>
    <t>064010 - Közvilágítás</t>
  </si>
  <si>
    <t>066020 - Város-, községgazdálkodási egyéb szolgáltatások</t>
  </si>
  <si>
    <t>Közüzemi díjak</t>
  </si>
  <si>
    <t>0511021</t>
  </si>
  <si>
    <t>Normatív jutalmak</t>
  </si>
  <si>
    <t>051113</t>
  </si>
  <si>
    <t>053411</t>
  </si>
  <si>
    <t>Kiküldetések kiadásai</t>
  </si>
  <si>
    <t>053552</t>
  </si>
  <si>
    <t>084031 - Civil szervezetek működési támogatása</t>
  </si>
  <si>
    <t>Egyéb működési célú támogatások államháztartáson kívülre</t>
  </si>
  <si>
    <t>05713</t>
  </si>
  <si>
    <t>05743</t>
  </si>
  <si>
    <t>104037 - Intézményen kívüli gyermekétkeztetés</t>
  </si>
  <si>
    <t>Egyéb pénzbeni és természetbeni gyermekvédelmi támogatások kiadásai</t>
  </si>
  <si>
    <t>Egyéb, az Önkormányzat rendeletében megállapított juttatás</t>
  </si>
  <si>
    <t>107060 - Egyéb szociális pénzbeli és természetbeni ellátások, támogatások</t>
  </si>
  <si>
    <t>Egyéb üzemeltetési anyagok - szoc.tüzifa</t>
  </si>
  <si>
    <t>Egyéb szolgáltatások - szoc. tüzifa szállítási díj</t>
  </si>
  <si>
    <t>Működési célú, előzetesen felszámított áfa</t>
  </si>
  <si>
    <t>Egyéb, nem intézményi ellátások [Szoctv. 45. § alapján]</t>
  </si>
  <si>
    <t>Kiadások mindösszesen</t>
  </si>
  <si>
    <t>Törvény szerinti illetmények összesen:</t>
  </si>
  <si>
    <t>hó</t>
  </si>
  <si>
    <t>év</t>
  </si>
  <si>
    <t>Bankköltség térítése - polgármester</t>
  </si>
  <si>
    <t>Választott tisztségviselők juttatásai összesen</t>
  </si>
  <si>
    <t>Egyéb jogviszonyban nem saját foglalkoztatottnak fizetett juttatások összesen</t>
  </si>
  <si>
    <t>05231</t>
  </si>
  <si>
    <t xml:space="preserve">Szociális hozzájárulási adó </t>
  </si>
  <si>
    <t>Szociális hozzájárulási adó összesen</t>
  </si>
  <si>
    <t>Szakmai anyagok beszerzése (könyv)</t>
  </si>
  <si>
    <t>Tisztítószer</t>
  </si>
  <si>
    <t>Munkaruha és védőruha</t>
  </si>
  <si>
    <t>Üzemeltetési anyagok összesen</t>
  </si>
  <si>
    <t>Informatikai szolgáltatások igénybevétele</t>
  </si>
  <si>
    <t>Bérleti és lízing díjak összesen</t>
  </si>
  <si>
    <t>Jogi szolgáltatás</t>
  </si>
  <si>
    <t>Egyéb szakmai tevékenységet segítő szolg.</t>
  </si>
  <si>
    <t>Szakmai tevékenységet segítő szolgáltatások összesen</t>
  </si>
  <si>
    <t>AM</t>
  </si>
  <si>
    <t>Egyéb szolgáltatások összesen:</t>
  </si>
  <si>
    <t>Működési célú előzetesen felszámított általános forgalmi adó összesen</t>
  </si>
  <si>
    <t xml:space="preserve"> </t>
  </si>
  <si>
    <t>0535502</t>
  </si>
  <si>
    <t>Egyéb dologi kiadások összesen</t>
  </si>
  <si>
    <t>Egyéb működési célú támogatások államháztartáson belülre összesen</t>
  </si>
  <si>
    <t xml:space="preserve">Összes önkormányzati tartalék </t>
  </si>
  <si>
    <t>Felújítási kiadások összesen</t>
  </si>
  <si>
    <t>Karbantartási, kisjavítási szolg. összesen</t>
  </si>
  <si>
    <t>018030 Támogatási célú finanszírozási műveletek</t>
  </si>
  <si>
    <t>Óvodának átadott köznevelési normatíva</t>
  </si>
  <si>
    <t>Óvodának átadott irányító szervi támogatás</t>
  </si>
  <si>
    <t>Más járulék fizetési kötelezettség TP hj.</t>
  </si>
  <si>
    <t>Karbantartás, kisjavítás összesen</t>
  </si>
  <si>
    <t>Ingatlanok felújítása összesen</t>
  </si>
  <si>
    <t>MT alapján teljes, részmunkaidős bér összesen</t>
  </si>
  <si>
    <t>Egyéb költségtérítések -bankköltség</t>
  </si>
  <si>
    <t>Egyéb készlet, üzemeltetési anyag</t>
  </si>
  <si>
    <t>Egyéb karbantartási, kisjavítási szolgáltatások</t>
  </si>
  <si>
    <t>Egyéb tárgyi eszközök beszerzése, létesítése összesen</t>
  </si>
  <si>
    <t>Köztisztviselők, közalkalmazottak bére</t>
  </si>
  <si>
    <t>0521</t>
  </si>
  <si>
    <t>Rovarírtás</t>
  </si>
  <si>
    <t>Köztisztviselők, közalkalmazottak bére összesen</t>
  </si>
  <si>
    <t xml:space="preserve">Egyéb tárgyi eszköz beszerzés </t>
  </si>
  <si>
    <t xml:space="preserve">Ingatlanok felújítása </t>
  </si>
  <si>
    <t>Dorog és Térsége Szociális Alapellátó Szolgálatnak fizetett hozzájárulás</t>
  </si>
  <si>
    <t>Egyéb pénzbeli és természetbeni gyermekvédelmi támogatások kiadásai</t>
  </si>
  <si>
    <t>kiegészítő gyermekvédelmi támogatás</t>
  </si>
  <si>
    <t>Vásárolt élelmezés előirányzata</t>
  </si>
  <si>
    <t>Családsegítő és Gyermekjóléti Szolg.-nak fizetett éves hozzájárulás</t>
  </si>
  <si>
    <t>053771</t>
  </si>
  <si>
    <t>0548317</t>
  </si>
  <si>
    <t>Egyéb nem intézményi ellátás (Szoctv. 45.§)</t>
  </si>
  <si>
    <t>0548315</t>
  </si>
  <si>
    <t>Egyéb, az Önkorm. Rendeletében megállapított juttatás (rendelet alapján)</t>
  </si>
  <si>
    <t>rendelet alapján</t>
  </si>
  <si>
    <t>ebből: Beiskolázási támogatás</t>
  </si>
  <si>
    <t>Kiadások kormányati funkciók (COFOG) szerinti bontásban (összesítő)</t>
  </si>
  <si>
    <t>Kormányzati funkció (COFOG)</t>
  </si>
  <si>
    <t>Bér</t>
  </si>
  <si>
    <t>Járulék</t>
  </si>
  <si>
    <t>Dologi kiadás</t>
  </si>
  <si>
    <t>107060 - Egyéb szociális pénzbeni és természetbeni ellátások</t>
  </si>
  <si>
    <t>Önkormányzat összesen:</t>
  </si>
  <si>
    <t xml:space="preserve">Közutak fenntartásának támogatása: </t>
  </si>
  <si>
    <t>Ft</t>
  </si>
  <si>
    <t>Közvilágítás fenntartásának támogatása:</t>
  </si>
  <si>
    <t>Köztemető fenntartásának támogatása:</t>
  </si>
  <si>
    <t>Üzemeltetési anyagok, tisztítószer iskolának</t>
  </si>
  <si>
    <t>Egyéb szolgáltatások - fűtőanyag szállítási díj</t>
  </si>
  <si>
    <t>Ellenőrzés:</t>
  </si>
  <si>
    <t>Tárgyévi működési bevételek</t>
  </si>
  <si>
    <t>Települési önkormányzatok kulturális feladatainak támogatása (kulturális illetménypótlék)</t>
  </si>
  <si>
    <t>098141</t>
  </si>
  <si>
    <t>Államháztartáson belüli megelőlegezések teljesítése</t>
  </si>
  <si>
    <t>Államháztartáson belüli megelőlegezés</t>
  </si>
  <si>
    <t>%</t>
  </si>
  <si>
    <t>041233 Hosszú távú közfoglalkoztatás</t>
  </si>
  <si>
    <t>I/3.aa) számú melléklet</t>
  </si>
  <si>
    <t>Kiadások visszatérítései</t>
  </si>
  <si>
    <t>097533</t>
  </si>
  <si>
    <t>Egyéb felhalmozási c. átvett pénzeszk.</t>
  </si>
  <si>
    <t>Piliscsév Község Önkormányzata</t>
  </si>
  <si>
    <t>Szakmai anyagok, gyógyszer, könyv beszerzése</t>
  </si>
  <si>
    <t>Informatikai szolgáltatások, internet díj</t>
  </si>
  <si>
    <t>Víz- és csatornadíj  (technikai)</t>
  </si>
  <si>
    <t>0533521</t>
  </si>
  <si>
    <t>Közvetítet szolgáltatások ÁHT-on kívül</t>
  </si>
  <si>
    <t>Belföldi kiküldetések</t>
  </si>
  <si>
    <t>Önkéntes EP - polgármester</t>
  </si>
  <si>
    <t>Egyéb külső személyi juttatások</t>
  </si>
  <si>
    <t>051231</t>
  </si>
  <si>
    <t>0331131</t>
  </si>
  <si>
    <t>Csapuka Katalin újság, pályázat megbízási díj</t>
  </si>
  <si>
    <t>Gépek, autó</t>
  </si>
  <si>
    <t>Faház</t>
  </si>
  <si>
    <t>Belföldi kiküldetések kiadásai</t>
  </si>
  <si>
    <t>Karbantartás, kisjaítási szolgáltatások telj.</t>
  </si>
  <si>
    <t xml:space="preserve">Villamos energia </t>
  </si>
  <si>
    <t xml:space="preserve">Gázdíj  </t>
  </si>
  <si>
    <t xml:space="preserve">Víz- és csatornadíj </t>
  </si>
  <si>
    <t>Egyéb szolgáltatások teljesítése</t>
  </si>
  <si>
    <t xml:space="preserve">Egyéb szolgáltatások </t>
  </si>
  <si>
    <t>Közös Hivatalnak átadott állami támogatás</t>
  </si>
  <si>
    <t>Művelődési Háznak átadott állami támogatás</t>
  </si>
  <si>
    <t>Művelődési Háznak átadott irányító szervi támogatás</t>
  </si>
  <si>
    <t>041233 Hosszabb időtartamú közfoglalkoztatás</t>
  </si>
  <si>
    <t>Törvény szerinti illetmények, munkabérek telj.</t>
  </si>
  <si>
    <t>041236 Országos közfoglalkoztatási program</t>
  </si>
  <si>
    <t>Ingatlanok felújítása teljesítése</t>
  </si>
  <si>
    <t xml:space="preserve">Zöldterület gazdálkodás normatíva: </t>
  </si>
  <si>
    <t>Kamatkiadások teljesítése</t>
  </si>
  <si>
    <t>05831</t>
  </si>
  <si>
    <t>Központi költségvetési szervnek felhalmozási célú visszatérítendő támogatás, kölcsön törlesztés kiadásai</t>
  </si>
  <si>
    <t>0511041</t>
  </si>
  <si>
    <t>Készenléti, ügyeleti, helyettesítési díj, túlóra</t>
  </si>
  <si>
    <t>0511071</t>
  </si>
  <si>
    <t>Béren kívüli juttatások teljesítése</t>
  </si>
  <si>
    <t>053211</t>
  </si>
  <si>
    <t>Egyéb kommunikációs szolgáltatások telj.</t>
  </si>
  <si>
    <t>074032 - Ifjúság-egyészségügyi gondozás</t>
  </si>
  <si>
    <t>074032 - Ifjúság-egészségügyi gondozás</t>
  </si>
  <si>
    <t>Med-Anna</t>
  </si>
  <si>
    <t>082091 - Közművelődés – közösségi és társadalmi részvétel fejlesztése</t>
  </si>
  <si>
    <t>082091 - Közművelődés - közösségi és társadalmi részvétel fejlesztése</t>
  </si>
  <si>
    <t>Szociális hozzájárulási adó kiadásai</t>
  </si>
  <si>
    <t>Egyéb civil, vagy más nonprofit szervezetek egyéb működési célú támogatások kiadásai</t>
  </si>
  <si>
    <t>Diákönkormányzat</t>
  </si>
  <si>
    <t>Vöröskereszt</t>
  </si>
  <si>
    <t>Piliscsév SE</t>
  </si>
  <si>
    <t>Szlovák Baráti Kör</t>
  </si>
  <si>
    <t>Asszonykórus Piliscsév</t>
  </si>
  <si>
    <t>Nyugdíjas Klub</t>
  </si>
  <si>
    <t xml:space="preserve">Pincefalu Egyesület </t>
  </si>
  <si>
    <t>Piliscsévi Polgárőr Egyesület</t>
  </si>
  <si>
    <t>Ister Granum</t>
  </si>
  <si>
    <t>Piliscsévi Szlovák Önkormányzat</t>
  </si>
  <si>
    <t>Katolikus Karitász</t>
  </si>
  <si>
    <t>Trnka Tánccsoport</t>
  </si>
  <si>
    <t>Natúrpark</t>
  </si>
  <si>
    <t>Esztergomi Kórház, eü-i, egyedi kérelmek</t>
  </si>
  <si>
    <t>Duna-Pilis-Gerecse Társulás</t>
  </si>
  <si>
    <t>Dorog és Térsége Turizmus Egyesület tagíj</t>
  </si>
  <si>
    <t>102031 - Idősek nappali ellátása</t>
  </si>
  <si>
    <t>104035 - Gyermekétkeztetés bölcsődében, fogyatékosok nappali intézményében</t>
  </si>
  <si>
    <t>Vásárolt élelmezés teljesítése</t>
  </si>
  <si>
    <t>104042 - Család-, és gyermekjóléti szolgáltatások</t>
  </si>
  <si>
    <t xml:space="preserve">104042 - Család-, és gyermekjóléti szolgáltatások </t>
  </si>
  <si>
    <t>Egyéb üzemeltetési anyagok  - szociális tüzifa I.</t>
  </si>
  <si>
    <t>05481</t>
  </si>
  <si>
    <t>ebből: piliscsévi gyerekek bérlet támogatása</t>
  </si>
  <si>
    <t>ebből: időskorúak támogatása (Karácsonykor)</t>
  </si>
  <si>
    <t>ebből: Babautalvány</t>
  </si>
  <si>
    <t xml:space="preserve">ebből: ösztöndíj támogatás </t>
  </si>
  <si>
    <t>Egyéb települési támogatás (lakásfenntartási tám., átmeneti segély, gyógyszerköltség, kórházi ápolás, temetési segély, tűzifa segély, étkezési térítési díj)</t>
  </si>
  <si>
    <t>Köztemetés (Szoc.tv.48.§)</t>
  </si>
  <si>
    <t>Köztemetés (Szoc.tv. 48.§)</t>
  </si>
  <si>
    <t>094031</t>
  </si>
  <si>
    <t>Közvetített szolgáltatások ellenértéke</t>
  </si>
  <si>
    <t>09741</t>
  </si>
  <si>
    <t>Háztartásoktól felhalmozási célú visszatérítendő támogatások, kölcsönök visszatérülése</t>
  </si>
  <si>
    <t>ebből: önkormányzati hivatal működésének támogatása</t>
  </si>
  <si>
    <t>ebből: a finanszírozás szempontjából elismert szakmai dolgozók bértámotatása - bölcsőde</t>
  </si>
  <si>
    <t>091161</t>
  </si>
  <si>
    <t>Leányvár Cselgáncs Klub</t>
  </si>
  <si>
    <t>Közös Hivatalnak átadott irányító szervi támogatás</t>
  </si>
  <si>
    <t>Tér-Háló rendezési terv</t>
  </si>
  <si>
    <t>Immateriális javak beszerzése, létesítése tartalékból</t>
  </si>
  <si>
    <t>066020 - Város-, és községgazdálkodási egyéb szolgáltatások</t>
  </si>
  <si>
    <t>09251</t>
  </si>
  <si>
    <t>Fejezeti kezelésű EI-tól EU-s programok és azok hazai társfinanszírozása miatt felhalmozási célú támogatások bevételei (Identitás pályázat)</t>
  </si>
  <si>
    <t>104031 - Gyermekek bölcsődében és mini bölcsődében történő ellátása</t>
  </si>
  <si>
    <t>093351</t>
  </si>
  <si>
    <t>Tartózkodás után fizetett idegenforgalmi adó bevételei</t>
  </si>
  <si>
    <t>Egyéb tárgyi eszköz beszerzése, létesítése</t>
  </si>
  <si>
    <t>Béren kívüli juttatások</t>
  </si>
  <si>
    <t>053351</t>
  </si>
  <si>
    <t>Közvetített szolgáltatások Áht-on kívülre</t>
  </si>
  <si>
    <t>Települési támogatás [Szoctv. 45.§]</t>
  </si>
  <si>
    <t>054871</t>
  </si>
  <si>
    <t>09355011</t>
  </si>
  <si>
    <t>Tartózkodás után fizetett idegenforgalmi adó</t>
  </si>
  <si>
    <t>095221</t>
  </si>
  <si>
    <t>Földterületek eladása</t>
  </si>
  <si>
    <t>Felhalm.c. kölcsön visszatérülése</t>
  </si>
  <si>
    <t>0925   Felhalmozási célú önkormányzati támogatások</t>
  </si>
  <si>
    <t>013350 - Az önkormányzati vagyonnal való gazdálkoással kapcsolatos feladatok</t>
  </si>
  <si>
    <t>041233 - Hosszabb időtartamú közfoglalkoztatás</t>
  </si>
  <si>
    <t>041236 - Országos közfoglalkoztatási program</t>
  </si>
  <si>
    <t>104042 - Család- és gyermekjóléti szolgáltatások</t>
  </si>
  <si>
    <t>Központi költségvetési szervnek egyéb működési célú végleges támogatás kiadásai</t>
  </si>
  <si>
    <t>Társulásnak és költségvetési szervének egyéb működési célú végleges támogatás kiad.</t>
  </si>
  <si>
    <t>0550631</t>
  </si>
  <si>
    <t>062020 - Településfejlesztési projektek és támogatásuk</t>
  </si>
  <si>
    <t>Ingatlanok felújítása előirányzata - orvosi</t>
  </si>
  <si>
    <t>áttéve a 018030-as kormányzati funkcióra</t>
  </si>
  <si>
    <t>0511011</t>
  </si>
  <si>
    <t>szociálped.</t>
  </si>
  <si>
    <t>Ingatlanok felújítása előirányzata</t>
  </si>
  <si>
    <t>Központi kezelésű előirányzattól működési célú támogatások bevételei</t>
  </si>
  <si>
    <t>Működési célú végleges támogatás kiadásai</t>
  </si>
  <si>
    <t>Változás</t>
  </si>
  <si>
    <t>Eredeti EI</t>
  </si>
  <si>
    <t>ebből: bölcsődei üzemeltetés támogatása</t>
  </si>
  <si>
    <t>Tartalékok (elköt. pénzmaradv. terhére) útpályázat beérkezett előlege</t>
  </si>
  <si>
    <t>Dorog és Térsége Szociális Alapellátó Szolgálatnak átadott hozzájárulás</t>
  </si>
  <si>
    <t>Dorog és Térsége Szociális Családsegítésre átadott hozzájárulás</t>
  </si>
  <si>
    <t>Bursa ösztöndíjakra átadott támogatás</t>
  </si>
  <si>
    <t xml:space="preserve">Gyermekétkeztetés normatíva: </t>
  </si>
  <si>
    <t>Identitás pályázat befolyt összegéből szabad maradvány: 4443000</t>
  </si>
  <si>
    <t>Tulajdonosi bevételek (faház, tak.szöv.bérleti díja)</t>
  </si>
  <si>
    <t>Kiadások visszatérítései (orvosi épület bérleti díja)</t>
  </si>
  <si>
    <t>Felhalmozási célú önkormányzati támogatások teljesítése (Visszmajor pályázaton elnyert összeg)</t>
  </si>
  <si>
    <t>I/5.sz. melléklet</t>
  </si>
  <si>
    <t>Bankszámlán lévő egyenleg (főszámla):</t>
  </si>
  <si>
    <t>Gépjárműadó számlán maradó egyenleg:</t>
  </si>
  <si>
    <t>Idegen bevétel számlán maradó egyenleg:</t>
  </si>
  <si>
    <t>Összes banki egyenleg:</t>
  </si>
  <si>
    <t>Pénzmaradványt csökkentő tételek</t>
  </si>
  <si>
    <t xml:space="preserve">Összesen: </t>
  </si>
  <si>
    <t>Illeték bevétel számlán maradó egyenleg:</t>
  </si>
  <si>
    <t>MÁK Pályázati számlán maradó egyenleg (út felújítása):</t>
  </si>
  <si>
    <t>MÁK Pályázati számlán maradó egyenleg (identitás):</t>
  </si>
  <si>
    <t>MÁK Pályázati számlán maradó egyenleg (TOP pályázat):</t>
  </si>
  <si>
    <t>Visszmajor pály.</t>
  </si>
  <si>
    <t xml:space="preserve">Képviselők tiszteletdíja </t>
  </si>
  <si>
    <t>Elkülönített állami pénzalaptól működési célú támogatások bevételei (nyári diákmunkások támogatása)</t>
  </si>
  <si>
    <t>0511061</t>
  </si>
  <si>
    <t>Jubileumi jutalom</t>
  </si>
  <si>
    <t>Ingatlan beszerzése, létesítése</t>
  </si>
  <si>
    <t>ingatlan, telek</t>
  </si>
  <si>
    <t>Ingatlan felújítása</t>
  </si>
  <si>
    <t>092131</t>
  </si>
  <si>
    <t>Kolibri Táncegyesület</t>
  </si>
  <si>
    <t>Egyéb támogatások (Pilis Kupa, stb.)</t>
  </si>
  <si>
    <t>ebből: egyéb önkormányzati feladatok támogatása</t>
  </si>
  <si>
    <t>ebből: lakott külterülettel kapcs. Feladatok támogatása</t>
  </si>
  <si>
    <t>0550831</t>
  </si>
  <si>
    <t>Háztartásoknak működési célú visszatérítendő támogatás, kölcsön nyújtás kiadásai</t>
  </si>
  <si>
    <t>Oláh Gábor</t>
  </si>
  <si>
    <t>Kókai Balázs</t>
  </si>
  <si>
    <t>Védőnő normatíva:</t>
  </si>
  <si>
    <t>EP</t>
  </si>
  <si>
    <t>Betegszabadság</t>
  </si>
  <si>
    <t>bankköltség</t>
  </si>
  <si>
    <t>szoc. normatíva:</t>
  </si>
  <si>
    <t>munkaruha</t>
  </si>
  <si>
    <t>Béren kívüli</t>
  </si>
  <si>
    <t>Ludové Noviny</t>
  </si>
  <si>
    <t>egyéb szakmai anyag beszerzése</t>
  </si>
  <si>
    <t>24 óra</t>
  </si>
  <si>
    <t>Egyéb üzemeltetési anyagok</t>
  </si>
  <si>
    <t>Borlai számítógép üzemeltetés</t>
  </si>
  <si>
    <t>Szerver üzemeltetés (Comp-L)</t>
  </si>
  <si>
    <t>AAM</t>
  </si>
  <si>
    <t>Telekom internetdíj</t>
  </si>
  <si>
    <t>telefonszámla</t>
  </si>
  <si>
    <t>Nyomtató bérleti díj (Konika Mivolta)</t>
  </si>
  <si>
    <t>Fiókbérleti díj</t>
  </si>
  <si>
    <t>Egyéb bérleti díjak</t>
  </si>
  <si>
    <t>Példányszám (Konika Mivolta)</t>
  </si>
  <si>
    <t>Egyéb karbantartási szolgáltatások</t>
  </si>
  <si>
    <t>Youtube csatorna kezelése (Borlai)</t>
  </si>
  <si>
    <t>Síkosságmentesítés</t>
  </si>
  <si>
    <t>Síkosságmentesítás rendelkezésre állás</t>
  </si>
  <si>
    <t>15000/óra</t>
  </si>
  <si>
    <t>09355391</t>
  </si>
  <si>
    <t>Talajterhelési díj bevételei</t>
  </si>
  <si>
    <t>esküvők</t>
  </si>
  <si>
    <t>Topor fennmaradó év elején:</t>
  </si>
  <si>
    <t>Csilléné Ijjas Petra fennmradó</t>
  </si>
  <si>
    <t>idén esedékes</t>
  </si>
  <si>
    <t>Kati számla</t>
  </si>
  <si>
    <t>Duster</t>
  </si>
  <si>
    <t>egyéb karbantartás</t>
  </si>
  <si>
    <t>Bankköltség</t>
  </si>
  <si>
    <t>egyéb</t>
  </si>
  <si>
    <t>cégautóadó</t>
  </si>
  <si>
    <t>temető</t>
  </si>
  <si>
    <t>járda</t>
  </si>
  <si>
    <t>játszótér</t>
  </si>
  <si>
    <t>KIA üzemanyag</t>
  </si>
  <si>
    <t>üzemanyag gépekbe</t>
  </si>
  <si>
    <t>Üzemanyag</t>
  </si>
  <si>
    <t>Duster karbantartás</t>
  </si>
  <si>
    <t xml:space="preserve">KIA karbantartása </t>
  </si>
  <si>
    <t>wifi eu</t>
  </si>
  <si>
    <t>Lodgy üzemanyag</t>
  </si>
  <si>
    <t>Lodgy karbantartás</t>
  </si>
  <si>
    <t>Elkülönített állami pénzalaptól működési célú támogatások bevételei (földalapú támogatás)</t>
  </si>
  <si>
    <t>0550637</t>
  </si>
  <si>
    <t>Hristov-Todorov Judit</t>
  </si>
  <si>
    <t>Tartalékok (elköt.pénzmaradv.terhére) Identitás pályázat</t>
  </si>
  <si>
    <t>Tartalékok (elköt.pénzmaradv.terhére) Közfoglalkoztatottak</t>
  </si>
  <si>
    <t>104030 - Gyermekek napközbeni ellátása</t>
  </si>
  <si>
    <t>Működési célű előzetesen felszámított áfa</t>
  </si>
  <si>
    <t>Egyéb működési bevételek előirányzata</t>
  </si>
  <si>
    <t>Talajterhelés</t>
  </si>
  <si>
    <t>Béren kívüli juttatás</t>
  </si>
  <si>
    <t>074040 - Fertőző megbetegedések megelőzése, járványügyi ellátás</t>
  </si>
  <si>
    <t>Működési célú előzetesen felszámított általános forgalmi adó teljesítése</t>
  </si>
  <si>
    <t>053313</t>
  </si>
  <si>
    <t>2021. eredeti EI</t>
  </si>
  <si>
    <t>projektor, vetítő</t>
  </si>
  <si>
    <t>Csévi Kisbíró</t>
  </si>
  <si>
    <t>rendezési terv módosítások</t>
  </si>
  <si>
    <t>Rendelő</t>
  </si>
  <si>
    <t>2022. évi költségvetés eredeti előirányzata</t>
  </si>
  <si>
    <t>2022. évi eredeti EI</t>
  </si>
  <si>
    <t>ebből: Óvodaműködtetési támogatás</t>
  </si>
  <si>
    <t>ebből: Pedagógusok átlagbéralapú támogatása</t>
  </si>
  <si>
    <t>ebből:  segítők átlagbéralapú támogatása</t>
  </si>
  <si>
    <t>ebből: nemzetiségi támogatás</t>
  </si>
  <si>
    <t>091132</t>
  </si>
  <si>
    <t>Települési önkormányzatok gyermekétkeztetési feladatainak támogatása</t>
  </si>
  <si>
    <t>Települési önkormányzatok szociális, gyermekjóléti feladatainak támogatása</t>
  </si>
  <si>
    <t>ebből: rászoruló gyermekek szünidei étkeztetésének tám.</t>
  </si>
  <si>
    <t>Szja</t>
  </si>
  <si>
    <t>Lodgy karbantartási anyag</t>
  </si>
  <si>
    <t>elektromos kerékpár karbantartás</t>
  </si>
  <si>
    <t>általános karbantartás</t>
  </si>
  <si>
    <t>orvosi alkalmasság, eg.kiskönyv</t>
  </si>
  <si>
    <t>2022. eredeti EI</t>
  </si>
  <si>
    <t>SZJA</t>
  </si>
  <si>
    <t>Járulékok összesen:</t>
  </si>
  <si>
    <t>Járulékok</t>
  </si>
  <si>
    <t>Telekom internetszolgáltatás</t>
  </si>
  <si>
    <t>Telekom telefonszámla</t>
  </si>
  <si>
    <t>oktatás</t>
  </si>
  <si>
    <t>helyettesítés</t>
  </si>
  <si>
    <t>Megbízási díj</t>
  </si>
  <si>
    <t>Bedő Viktória</t>
  </si>
  <si>
    <t>Szocho</t>
  </si>
  <si>
    <t>gépek anyagköltségei, karb.anyagktg.</t>
  </si>
  <si>
    <t>Ebrendészeti feladatok</t>
  </si>
  <si>
    <t>Ebtartás, altatás</t>
  </si>
  <si>
    <t>Óvodának bölcsődére</t>
  </si>
  <si>
    <t>Polgármester ktgtérítése 2021.11hó</t>
  </si>
  <si>
    <t>Önkormányzati egyéb megbízások</t>
  </si>
  <si>
    <t>Urbanics utca 1 áram</t>
  </si>
  <si>
    <t>Urbanics utca 1 víz</t>
  </si>
  <si>
    <t>Urbanics utca 1 gáz</t>
  </si>
  <si>
    <t>Faház áram</t>
  </si>
  <si>
    <t>Iskola utca 10 áram</t>
  </si>
  <si>
    <t>Iskola utca 10 víz</t>
  </si>
  <si>
    <t>Iskola utca 10 gáz</t>
  </si>
  <si>
    <t>Hanganov</t>
  </si>
  <si>
    <t>december</t>
  </si>
  <si>
    <t>Kovács Kristóf</t>
  </si>
  <si>
    <t>Taki</t>
  </si>
  <si>
    <t>Iskola 10</t>
  </si>
  <si>
    <t>Velmovszki</t>
  </si>
  <si>
    <t>Dr. Borbola</t>
  </si>
  <si>
    <t>Dr. Bio</t>
  </si>
  <si>
    <t>MedAnna Bt.</t>
  </si>
  <si>
    <t>Tartalékok (elköt. pénzmaradv. terhére) Iskola energetika támogatás</t>
  </si>
  <si>
    <t>Tartalékok (elköt. Pénzmaradv. Terhére) Iskola energetika önerő</t>
  </si>
  <si>
    <t>Tartalékok (elköt. Pénzmaradv. Terhére) Kesztölci utca önerő</t>
  </si>
  <si>
    <t>Tartalékok (elköt. Pénzmaradv. Terhére) MFP előkészítés</t>
  </si>
  <si>
    <t>Gondi Béláné</t>
  </si>
  <si>
    <t>Weizner Erzsébet</t>
  </si>
  <si>
    <t>Karnai Lászlóné</t>
  </si>
  <si>
    <t>Működési célú költségvetési támogatások és kiegészítő támogatások (2022.évi bérintézkedések)</t>
  </si>
  <si>
    <t>ebből: 1.1.1. Önkormányzat működés</t>
  </si>
  <si>
    <t>ebből: 1.2. köznevelés</t>
  </si>
  <si>
    <t>ebből: 1.3. Bölcsőde</t>
  </si>
  <si>
    <t>ebből: 1.4. gyermekétkezés</t>
  </si>
  <si>
    <t>Tartalékok (elköt. Pénzmaradv. Terhére) 2021. évi szoc tüzifa szállítás</t>
  </si>
  <si>
    <t>MÁK Pályázati számlán maradó egyenleg (Iskola energetika):</t>
  </si>
  <si>
    <t>Tartalékok (elköt. Pénzmaradv. Terhére) 2021. évre vonatkozó visszafizetés</t>
  </si>
  <si>
    <t>Piliscsév Község Önkormányzata 2021. költségvetési évre 2022-ről átvihető pénzmaradványa</t>
  </si>
  <si>
    <t>Polgármester jutalom</t>
  </si>
  <si>
    <t>2023. évi költségvetés eredeti előirányzata</t>
  </si>
  <si>
    <t>2023. évi eredeti EI</t>
  </si>
  <si>
    <t>következő évre átvitt</t>
  </si>
  <si>
    <t>2022.évi pályázat</t>
  </si>
  <si>
    <t>6 hónapra tervezve</t>
  </si>
  <si>
    <t>Polgármester bér</t>
  </si>
  <si>
    <t>Alpolgármester tiszteletdíja</t>
  </si>
  <si>
    <t>Alpolgármester ktgtérítése</t>
  </si>
  <si>
    <t>Polgármester szép kártya</t>
  </si>
  <si>
    <t>Vincent Auditor</t>
  </si>
  <si>
    <t>Egészségműhely</t>
  </si>
  <si>
    <t>Kalásznet</t>
  </si>
  <si>
    <t>hrsz 387</t>
  </si>
  <si>
    <t xml:space="preserve">Kiküldetések kiadásai </t>
  </si>
  <si>
    <t>ebből: közvill kiegészítés</t>
  </si>
  <si>
    <t>ebből: üzemeltetési támogatás</t>
  </si>
  <si>
    <t>Gondi Győző 2022.12.hó</t>
  </si>
  <si>
    <t>Gondi Győző 2023. 11 hó</t>
  </si>
  <si>
    <t>0511031</t>
  </si>
  <si>
    <t>Jutalmak</t>
  </si>
  <si>
    <t>EP 2022</t>
  </si>
  <si>
    <t>EP 2023</t>
  </si>
  <si>
    <t>Védőnő bére</t>
  </si>
  <si>
    <t>Jutalom</t>
  </si>
  <si>
    <t>Kosztká Gáborné</t>
  </si>
  <si>
    <t>Konyhai dolgozó bére (Ijjas Ferencné) 2022.12.hó</t>
  </si>
  <si>
    <t>Konyhai dolgozó bére (Ijjas Ferencné) 2023.11 hó</t>
  </si>
  <si>
    <t>bankköltség hozzájárulás</t>
  </si>
  <si>
    <t>Ijjas Fné</t>
  </si>
  <si>
    <t>Tartalékok (elköt. pénzmaradv. terhére) Bölcsőde fejlesztés</t>
  </si>
  <si>
    <t>Tartalékok (elköt. Pénzmaradv. Terhére) Iskola energetika</t>
  </si>
  <si>
    <t>Tartalékok (elköt. Pénzmaradv. Terhére) Közösségszervezés</t>
  </si>
  <si>
    <t>Általános Tartalék</t>
  </si>
  <si>
    <t>Tartalékok (elköt. Pénzmaradv. Terhére) 2022. évi szoc tüzifa</t>
  </si>
  <si>
    <t>Tartalékok (elköt. Pénzmaradv. Terhére) Petőfi S. játszótér</t>
  </si>
  <si>
    <t>kerekítések</t>
  </si>
  <si>
    <t>műszaki vizsga</t>
  </si>
  <si>
    <t>egyéb beszerzés</t>
  </si>
  <si>
    <t>094021</t>
  </si>
  <si>
    <t>szoc tüzifa</t>
  </si>
  <si>
    <t>szoc tüzifa áfa</t>
  </si>
  <si>
    <t>ebből: Szlanka Henrietta</t>
  </si>
  <si>
    <t>előleg</t>
  </si>
  <si>
    <t>ebből: Strbik Attila</t>
  </si>
  <si>
    <t>ebből: Székely Józsefné</t>
  </si>
  <si>
    <t>ebből: Pacsics Julianna</t>
  </si>
  <si>
    <t>ebből: Janovszki Gergő, Sélley Vivien Virág</t>
  </si>
  <si>
    <t>ebből: Rumpli Józsefné</t>
  </si>
  <si>
    <t>2022. évi elszámolásból eredő bevétel</t>
  </si>
  <si>
    <t>Elszámolásból származó bevételek - 2022. évi pótigénylés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</si>
</sst>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#,##0\ &quot;Ft&quot;;[Red]\-#,##0\ &quot;Ft&quot;"/>
    <numFmt numFmtId="164" formatCode="_-* #,##0.00,_F_t_-;\-* #,##0.00,_F_t_-;_-* \-??\ _F_t_-;_-@_-"/>
    <numFmt numFmtId="165" formatCode="_-* #,##0,_F_t_-;\-* #,##0,_F_t_-;_-* \-??\ _F_t_-;_-@_-"/>
    <numFmt numFmtId="166" formatCode="_-* #,##0.00,&quot;Ft&quot;_-;\-* #,##0.00,&quot;Ft&quot;_-;_-* \-??&quot; Ft&quot;_-;_-@_-"/>
    <numFmt numFmtId="167" formatCode="_-* #,##0,&quot;Ft&quot;_-;\-* #,##0,&quot;Ft&quot;_-;_-* \-??&quot; Ft&quot;_-;_-@_-"/>
    <numFmt numFmtId="168" formatCode="#,##0_ ;\-#,##0\ "/>
    <numFmt numFmtId="169" formatCode="#,##0,&quot;Ft&quot;"/>
    <numFmt numFmtId="170" formatCode="#,##0&quot; Ft&quot;;[Red]\-#,##0&quot; Ft&quot;"/>
    <numFmt numFmtId="171" formatCode="0.0%"/>
    <numFmt numFmtId="172" formatCode="#,##0.0"/>
    <numFmt numFmtId="173" formatCode="#,##0\ &quot;Ft&quot;"/>
    <numFmt numFmtId="174" formatCode="#,##0\ _F_t"/>
  </numFmts>
  <fonts count="77" x14ac:knownFonts="1">
    <font>
      <sz val="10"/>
      <name val="Arial"/>
      <family val="2"/>
      <charset val="1"/>
    </font>
    <font>
      <sz val="11"/>
      <name val="Traditional Arabic"/>
      <family val="1"/>
      <charset val="1"/>
    </font>
    <font>
      <b/>
      <sz val="11"/>
      <name val="Traditional Arabic"/>
      <family val="1"/>
      <charset val="1"/>
    </font>
    <font>
      <i/>
      <sz val="11"/>
      <name val="Traditional Arabic"/>
      <family val="1"/>
      <charset val="1"/>
    </font>
    <font>
      <b/>
      <i/>
      <sz val="11"/>
      <name val="Traditional Arabic"/>
      <family val="1"/>
      <charset val="1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1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rgb="FF333333"/>
      <name val="Verdana"/>
      <family val="2"/>
      <charset val="238"/>
    </font>
    <font>
      <b/>
      <sz val="10"/>
      <name val="Times New Roman"/>
      <family val="1"/>
      <charset val="238"/>
    </font>
    <font>
      <sz val="7"/>
      <name val="Verdana"/>
      <family val="2"/>
      <charset val="238"/>
    </font>
    <font>
      <b/>
      <sz val="7"/>
      <name val="Verdana"/>
      <family val="2"/>
      <charset val="238"/>
    </font>
    <font>
      <sz val="7"/>
      <color rgb="FF333333"/>
      <name val="Verdana"/>
      <family val="2"/>
      <charset val="238"/>
    </font>
    <font>
      <sz val="10"/>
      <color rgb="FFFFFFFF"/>
      <name val="Arial"/>
      <family val="2"/>
      <charset val="1"/>
    </font>
    <font>
      <i/>
      <sz val="7"/>
      <color rgb="FF333333"/>
      <name val="Verdana"/>
      <family val="2"/>
      <charset val="238"/>
    </font>
    <font>
      <i/>
      <sz val="7"/>
      <name val="Verdana"/>
      <family val="2"/>
      <charset val="238"/>
    </font>
    <font>
      <i/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i/>
      <sz val="9"/>
      <name val="Times New Roman"/>
      <family val="1"/>
      <charset val="238"/>
    </font>
    <font>
      <sz val="8"/>
      <name val="Arial"/>
      <family val="2"/>
      <charset val="1"/>
    </font>
    <font>
      <i/>
      <sz val="10"/>
      <color rgb="FFC0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7"/>
      <name val="Verdana"/>
      <family val="2"/>
      <charset val="238"/>
    </font>
    <font>
      <i/>
      <sz val="7"/>
      <color rgb="FFC00000"/>
      <name val="Verdana"/>
      <family val="2"/>
      <charset val="238"/>
    </font>
    <font>
      <sz val="7"/>
      <name val="Arial"/>
      <family val="2"/>
      <charset val="238"/>
    </font>
    <font>
      <sz val="10"/>
      <color rgb="FF385724"/>
      <name val="Arial"/>
      <family val="2"/>
      <charset val="1"/>
    </font>
    <font>
      <sz val="1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1"/>
      <name val="Traditional Arabic"/>
      <family val="1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 CE"/>
      <family val="2"/>
      <charset val="238"/>
    </font>
    <font>
      <i/>
      <sz val="7"/>
      <color rgb="FFFF0000"/>
      <name val="Verdana"/>
      <family val="2"/>
      <charset val="238"/>
    </font>
    <font>
      <i/>
      <sz val="7"/>
      <color rgb="FF385724"/>
      <name val="Verdana"/>
      <family val="2"/>
      <charset val="238"/>
    </font>
    <font>
      <i/>
      <sz val="8"/>
      <name val="Times New Roman"/>
      <family val="1"/>
      <charset val="238"/>
    </font>
    <font>
      <b/>
      <i/>
      <sz val="7"/>
      <color theme="9"/>
      <name val="Verdana"/>
      <family val="2"/>
      <charset val="238"/>
    </font>
    <font>
      <b/>
      <sz val="10"/>
      <color theme="9"/>
      <name val="Arial"/>
      <family val="2"/>
      <charset val="238"/>
    </font>
    <font>
      <i/>
      <sz val="8"/>
      <color rgb="FFFF0000"/>
      <name val="Verdana"/>
      <family val="2"/>
      <charset val="238"/>
    </font>
    <font>
      <b/>
      <sz val="11"/>
      <name val="Traditional Arabic"/>
      <family val="1"/>
    </font>
    <font>
      <sz val="11"/>
      <name val="Traditional Arabic"/>
      <family val="1"/>
    </font>
    <font>
      <sz val="10"/>
      <name val="Traditional Arabic"/>
      <family val="1"/>
    </font>
    <font>
      <sz val="9"/>
      <color rgb="FF333333"/>
      <name val="Times New Roman"/>
      <family val="1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i/>
      <sz val="9"/>
      <color rgb="FFFF0000"/>
      <name val="Calibri Light"/>
      <family val="2"/>
      <charset val="238"/>
    </font>
    <font>
      <b/>
      <sz val="9"/>
      <color rgb="FFFF0000"/>
      <name val="Calibri Light"/>
      <family val="2"/>
      <charset val="238"/>
    </font>
    <font>
      <sz val="9"/>
      <color rgb="FF333333"/>
      <name val="Calibri Light"/>
      <family val="2"/>
      <charset val="238"/>
    </font>
    <font>
      <i/>
      <sz val="9"/>
      <name val="Calibri Light"/>
      <family val="2"/>
      <charset val="238"/>
    </font>
    <font>
      <b/>
      <i/>
      <sz val="9"/>
      <color theme="9"/>
      <name val="Calibri Light"/>
      <family val="2"/>
      <charset val="238"/>
    </font>
    <font>
      <sz val="9"/>
      <color rgb="FFFF0000"/>
      <name val="Calibri Light"/>
      <family val="2"/>
      <charset val="238"/>
    </font>
    <font>
      <i/>
      <sz val="9"/>
      <color rgb="FFC00000"/>
      <name val="Calibri Light"/>
      <family val="2"/>
      <charset val="238"/>
    </font>
    <font>
      <i/>
      <sz val="9"/>
      <color theme="9"/>
      <name val="Calibri Light"/>
      <family val="2"/>
      <charset val="238"/>
    </font>
    <font>
      <i/>
      <sz val="9"/>
      <color rgb="FF385724"/>
      <name val="Calibri Light"/>
      <family val="2"/>
      <charset val="238"/>
    </font>
    <font>
      <sz val="9"/>
      <name val="Arial"/>
      <family val="2"/>
      <charset val="1"/>
    </font>
    <font>
      <sz val="12"/>
      <name val="Times New Roman"/>
      <family val="1"/>
      <charset val="238"/>
    </font>
    <font>
      <sz val="8"/>
      <name val="Arial"/>
      <family val="2"/>
    </font>
    <font>
      <i/>
      <sz val="8"/>
      <name val="Arial"/>
      <family val="2"/>
    </font>
    <font>
      <i/>
      <sz val="8"/>
      <name val="Verdana"/>
      <family val="2"/>
      <charset val="238"/>
    </font>
    <font>
      <sz val="10"/>
      <name val="Berlin Sans FB"/>
      <family val="2"/>
    </font>
    <font>
      <i/>
      <sz val="10"/>
      <name val="Berlin Sans FB"/>
      <family val="2"/>
    </font>
    <font>
      <i/>
      <sz val="10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DEEBF7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8CBAD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99"/>
      </patternFill>
    </fill>
    <fill>
      <patternFill patternType="solid">
        <fgColor rgb="FFFAC090"/>
        <bgColor rgb="FFFFCC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BDD7EE"/>
        <bgColor rgb="FF9DC3E6"/>
      </patternFill>
    </fill>
    <fill>
      <patternFill patternType="solid">
        <fgColor rgb="FFCCFFFF"/>
        <bgColor rgb="FFCC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9DC3E6"/>
      </patternFill>
    </fill>
    <fill>
      <patternFill patternType="solid">
        <fgColor theme="5" tint="0.59999389629810485"/>
        <bgColor rgb="FFF8CBAD"/>
      </patternFill>
    </fill>
    <fill>
      <patternFill patternType="solid">
        <fgColor theme="5" tint="0.59999389629810485"/>
        <b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164" fontId="40" fillId="0" borderId="0" applyBorder="0">
      <protection locked="0"/>
    </xf>
    <xf numFmtId="166" fontId="16" fillId="0" borderId="0" applyBorder="0" applyProtection="0"/>
    <xf numFmtId="9" fontId="40" fillId="0" borderId="0" applyBorder="0">
      <protection locked="0"/>
    </xf>
  </cellStyleXfs>
  <cellXfs count="959">
    <xf numFmtId="0" fontId="0" fillId="0" borderId="0" xfId="0"/>
    <xf numFmtId="0" fontId="1" fillId="0" borderId="0" xfId="0" applyFont="1"/>
    <xf numFmtId="0" fontId="2" fillId="2" borderId="0" xfId="0" applyFont="1" applyFill="1"/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/>
    </xf>
    <xf numFmtId="0" fontId="1" fillId="3" borderId="10" xfId="0" applyFont="1" applyFill="1" applyBorder="1"/>
    <xf numFmtId="165" fontId="40" fillId="0" borderId="11" xfId="1" applyNumberFormat="1" applyBorder="1">
      <protection locked="0"/>
    </xf>
    <xf numFmtId="49" fontId="3" fillId="4" borderId="10" xfId="3" applyNumberFormat="1" applyFont="1" applyFill="1" applyBorder="1" applyAlignment="1" applyProtection="1">
      <alignment horizontal="center"/>
    </xf>
    <xf numFmtId="3" fontId="1" fillId="4" borderId="11" xfId="0" applyNumberFormat="1" applyFont="1" applyFill="1" applyBorder="1"/>
    <xf numFmtId="165" fontId="40" fillId="0" borderId="13" xfId="1" applyNumberFormat="1" applyBorder="1">
      <protection locked="0"/>
    </xf>
    <xf numFmtId="165" fontId="40" fillId="0" borderId="14" xfId="1" applyNumberFormat="1" applyBorder="1">
      <protection locked="0"/>
    </xf>
    <xf numFmtId="49" fontId="3" fillId="3" borderId="12" xfId="0" applyNumberFormat="1" applyFont="1" applyFill="1" applyBorder="1" applyAlignment="1">
      <alignment horizontal="center"/>
    </xf>
    <xf numFmtId="0" fontId="1" fillId="3" borderId="15" xfId="0" applyFont="1" applyFill="1" applyBorder="1"/>
    <xf numFmtId="49" fontId="3" fillId="4" borderId="15" xfId="3" applyNumberFormat="1" applyFont="1" applyFill="1" applyBorder="1" applyAlignment="1" applyProtection="1">
      <alignment horizontal="center"/>
    </xf>
    <xf numFmtId="3" fontId="1" fillId="4" borderId="16" xfId="0" applyNumberFormat="1" applyFont="1" applyFill="1" applyBorder="1"/>
    <xf numFmtId="49" fontId="3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/>
    <xf numFmtId="49" fontId="3" fillId="4" borderId="18" xfId="3" applyNumberFormat="1" applyFont="1" applyFill="1" applyBorder="1" applyAlignment="1" applyProtection="1">
      <alignment horizontal="center"/>
    </xf>
    <xf numFmtId="3" fontId="1" fillId="4" borderId="19" xfId="0" applyNumberFormat="1" applyFont="1" applyFill="1" applyBorder="1"/>
    <xf numFmtId="165" fontId="40" fillId="0" borderId="20" xfId="1" applyNumberFormat="1" applyBorder="1">
      <protection locked="0"/>
    </xf>
    <xf numFmtId="165" fontId="40" fillId="0" borderId="21" xfId="1" applyNumberFormat="1" applyBorder="1">
      <protection locked="0"/>
    </xf>
    <xf numFmtId="49" fontId="4" fillId="3" borderId="1" xfId="0" applyNumberFormat="1" applyFont="1" applyFill="1" applyBorder="1" applyAlignment="1">
      <alignment horizontal="center"/>
    </xf>
    <xf numFmtId="3" fontId="2" fillId="4" borderId="3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165" fontId="40" fillId="0" borderId="2" xfId="1" applyNumberFormat="1" applyBorder="1">
      <protection locked="0"/>
    </xf>
    <xf numFmtId="49" fontId="3" fillId="3" borderId="24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165" fontId="40" fillId="0" borderId="27" xfId="1" applyNumberFormat="1" applyBorder="1">
      <protection locked="0"/>
    </xf>
    <xf numFmtId="165" fontId="40" fillId="0" borderId="28" xfId="1" applyNumberFormat="1" applyBorder="1">
      <protection locked="0"/>
    </xf>
    <xf numFmtId="0" fontId="0" fillId="2" borderId="0" xfId="0" applyFill="1"/>
    <xf numFmtId="3" fontId="1" fillId="4" borderId="31" xfId="0" applyNumberFormat="1" applyFont="1" applyFill="1" applyBorder="1"/>
    <xf numFmtId="165" fontId="40" fillId="0" borderId="33" xfId="1" applyNumberFormat="1" applyBorder="1">
      <protection locked="0"/>
    </xf>
    <xf numFmtId="49" fontId="4" fillId="3" borderId="34" xfId="0" applyNumberFormat="1" applyFont="1" applyFill="1" applyBorder="1" applyAlignment="1">
      <alignment horizontal="center"/>
    </xf>
    <xf numFmtId="49" fontId="3" fillId="4" borderId="20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3" fontId="1" fillId="0" borderId="0" xfId="3" applyNumberFormat="1" applyFont="1" applyBorder="1" applyProtection="1"/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6" borderId="37" xfId="0" applyFont="1" applyFill="1" applyBorder="1" applyAlignment="1">
      <alignment horizontal="center" vertical="center" wrapText="1" shrinkToFit="1"/>
    </xf>
    <xf numFmtId="0" fontId="8" fillId="6" borderId="42" xfId="0" applyFont="1" applyFill="1" applyBorder="1" applyAlignment="1">
      <alignment horizontal="center" vertical="center" wrapText="1" shrinkToFit="1"/>
    </xf>
    <xf numFmtId="49" fontId="9" fillId="0" borderId="44" xfId="0" applyNumberFormat="1" applyFont="1" applyBorder="1" applyAlignment="1">
      <alignment vertical="center" wrapText="1" shrinkToFit="1"/>
    </xf>
    <xf numFmtId="49" fontId="9" fillId="0" borderId="45" xfId="0" applyNumberFormat="1" applyFont="1" applyBorder="1" applyAlignment="1">
      <alignment vertical="center" wrapText="1" shrinkToFit="1"/>
    </xf>
    <xf numFmtId="3" fontId="9" fillId="0" borderId="45" xfId="0" applyNumberFormat="1" applyFont="1" applyBorder="1" applyAlignment="1">
      <alignment vertical="center" wrapText="1" shrinkToFit="1"/>
    </xf>
    <xf numFmtId="3" fontId="9" fillId="0" borderId="9" xfId="0" applyNumberFormat="1" applyFont="1" applyBorder="1" applyAlignment="1">
      <alignment vertical="center" wrapText="1" shrinkToFit="1"/>
    </xf>
    <xf numFmtId="49" fontId="9" fillId="0" borderId="29" xfId="0" applyNumberFormat="1" applyFont="1" applyBorder="1" applyAlignment="1">
      <alignment vertical="center" wrapText="1" shrinkToFit="1"/>
    </xf>
    <xf numFmtId="49" fontId="9" fillId="0" borderId="30" xfId="0" applyNumberFormat="1" applyFont="1" applyBorder="1" applyAlignment="1">
      <alignment vertical="center" wrapText="1" shrinkToFit="1"/>
    </xf>
    <xf numFmtId="3" fontId="9" fillId="0" borderId="30" xfId="0" applyNumberFormat="1" applyFont="1" applyBorder="1" applyAlignment="1">
      <alignment vertical="center" wrapText="1" shrinkToFit="1"/>
    </xf>
    <xf numFmtId="3" fontId="9" fillId="0" borderId="12" xfId="0" applyNumberFormat="1" applyFont="1" applyBorder="1" applyAlignment="1">
      <alignment vertical="center" wrapText="1" shrinkToFit="1"/>
    </xf>
    <xf numFmtId="49" fontId="9" fillId="0" borderId="34" xfId="0" applyNumberFormat="1" applyFont="1" applyBorder="1" applyAlignment="1">
      <alignment vertical="center" wrapText="1" shrinkToFit="1"/>
    </xf>
    <xf numFmtId="49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17" xfId="0" applyNumberFormat="1" applyFont="1" applyBorder="1" applyAlignment="1">
      <alignment vertical="center" wrapText="1" shrinkToFit="1"/>
    </xf>
    <xf numFmtId="3" fontId="10" fillId="5" borderId="48" xfId="0" applyNumberFormat="1" applyFont="1" applyFill="1" applyBorder="1" applyAlignment="1">
      <alignment vertical="center" wrapText="1" shrinkToFit="1"/>
    </xf>
    <xf numFmtId="3" fontId="10" fillId="5" borderId="2" xfId="0" applyNumberFormat="1" applyFont="1" applyFill="1" applyBorder="1" applyAlignment="1">
      <alignment vertical="center" wrapText="1" shrinkToFit="1"/>
    </xf>
    <xf numFmtId="3" fontId="12" fillId="5" borderId="48" xfId="0" applyNumberFormat="1" applyFont="1" applyFill="1" applyBorder="1" applyAlignment="1">
      <alignment vertical="center" wrapText="1" shrinkToFit="1"/>
    </xf>
    <xf numFmtId="3" fontId="12" fillId="5" borderId="2" xfId="0" applyNumberFormat="1" applyFont="1" applyFill="1" applyBorder="1" applyAlignment="1">
      <alignment vertical="center" wrapText="1" shrinkToFit="1"/>
    </xf>
    <xf numFmtId="0" fontId="13" fillId="0" borderId="0" xfId="0" applyFont="1"/>
    <xf numFmtId="49" fontId="9" fillId="0" borderId="36" xfId="0" applyNumberFormat="1" applyFont="1" applyBorder="1" applyAlignment="1">
      <alignment vertical="center" wrapText="1" shrinkToFit="1"/>
    </xf>
    <xf numFmtId="49" fontId="9" fillId="0" borderId="37" xfId="0" applyNumberFormat="1" applyFont="1" applyBorder="1" applyAlignment="1">
      <alignment vertical="center" wrapText="1" shrinkToFit="1"/>
    </xf>
    <xf numFmtId="3" fontId="9" fillId="0" borderId="37" xfId="0" applyNumberFormat="1" applyFont="1" applyBorder="1" applyAlignment="1">
      <alignment vertical="center" wrapText="1" shrinkToFit="1"/>
    </xf>
    <xf numFmtId="3" fontId="9" fillId="0" borderId="43" xfId="0" applyNumberFormat="1" applyFont="1" applyBorder="1" applyAlignment="1">
      <alignment vertical="center" wrapText="1" shrinkToFit="1"/>
    </xf>
    <xf numFmtId="49" fontId="12" fillId="5" borderId="47" xfId="0" applyNumberFormat="1" applyFont="1" applyFill="1" applyBorder="1" applyAlignment="1">
      <alignment vertical="center" wrapText="1" shrinkToFit="1"/>
    </xf>
    <xf numFmtId="49" fontId="12" fillId="5" borderId="48" xfId="0" applyNumberFormat="1" applyFont="1" applyFill="1" applyBorder="1" applyAlignment="1">
      <alignment vertical="center" wrapText="1" shrinkToFit="1"/>
    </xf>
    <xf numFmtId="3" fontId="12" fillId="3" borderId="2" xfId="0" applyNumberFormat="1" applyFont="1" applyFill="1" applyBorder="1" applyAlignment="1">
      <alignment vertical="center" wrapText="1" shrinkToFit="1"/>
    </xf>
    <xf numFmtId="3" fontId="0" fillId="0" borderId="0" xfId="0" applyNumberFormat="1"/>
    <xf numFmtId="0" fontId="0" fillId="0" borderId="0" xfId="0" applyAlignment="1">
      <alignment horizontal="center"/>
    </xf>
    <xf numFmtId="167" fontId="16" fillId="0" borderId="0" xfId="2" applyNumberFormat="1" applyBorder="1" applyProtection="1"/>
    <xf numFmtId="167" fontId="7" fillId="0" borderId="0" xfId="2" applyNumberFormat="1" applyFont="1" applyBorder="1" applyAlignment="1" applyProtection="1">
      <alignment horizontal="right"/>
    </xf>
    <xf numFmtId="0" fontId="17" fillId="2" borderId="0" xfId="0" applyFont="1" applyFill="1" applyAlignment="1">
      <alignment horizontal="center"/>
    </xf>
    <xf numFmtId="49" fontId="20" fillId="0" borderId="44" xfId="0" applyNumberFormat="1" applyFont="1" applyBorder="1" applyAlignment="1">
      <alignment horizontal="left" vertical="center" wrapText="1" shrinkToFit="1"/>
    </xf>
    <xf numFmtId="0" fontId="20" fillId="0" borderId="45" xfId="0" applyFont="1" applyBorder="1" applyAlignment="1">
      <alignment horizontal="left" vertical="center" wrapText="1" shrinkToFit="1"/>
    </xf>
    <xf numFmtId="3" fontId="20" fillId="0" borderId="45" xfId="0" applyNumberFormat="1" applyFont="1" applyBorder="1" applyAlignment="1">
      <alignment horizontal="right" wrapText="1" shrinkToFit="1"/>
    </xf>
    <xf numFmtId="3" fontId="20" fillId="0" borderId="9" xfId="0" applyNumberFormat="1" applyFont="1" applyBorder="1" applyAlignment="1">
      <alignment horizontal="right" wrapText="1" shrinkToFit="1"/>
    </xf>
    <xf numFmtId="0" fontId="22" fillId="0" borderId="29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3" fontId="22" fillId="0" borderId="12" xfId="0" applyNumberFormat="1" applyFont="1" applyBorder="1" applyAlignment="1" applyProtection="1">
      <alignment wrapText="1"/>
      <protection locked="0"/>
    </xf>
    <xf numFmtId="0" fontId="23" fillId="2" borderId="0" xfId="0" applyFont="1" applyFill="1"/>
    <xf numFmtId="0" fontId="24" fillId="0" borderId="30" xfId="0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vertical="center" wrapText="1"/>
      <protection locked="0"/>
    </xf>
    <xf numFmtId="3" fontId="18" fillId="0" borderId="48" xfId="0" applyNumberFormat="1" applyFont="1" applyBorder="1" applyAlignment="1" applyProtection="1">
      <alignment vertical="center" wrapText="1"/>
      <protection locked="0"/>
    </xf>
    <xf numFmtId="3" fontId="18" fillId="0" borderId="2" xfId="0" applyNumberFormat="1" applyFont="1" applyBorder="1" applyAlignment="1" applyProtection="1">
      <alignment vertical="center" wrapText="1"/>
      <protection locked="0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Border="1" applyAlignment="1" applyProtection="1">
      <alignment vertical="center" wrapText="1"/>
      <protection locked="0"/>
    </xf>
    <xf numFmtId="49" fontId="24" fillId="0" borderId="29" xfId="0" applyNumberFormat="1" applyFont="1" applyBorder="1" applyAlignment="1" applyProtection="1">
      <alignment vertical="center" wrapText="1"/>
      <protection locked="0"/>
    </xf>
    <xf numFmtId="3" fontId="25" fillId="0" borderId="12" xfId="1" applyNumberFormat="1" applyFont="1" applyBorder="1">
      <protection locked="0"/>
    </xf>
    <xf numFmtId="3" fontId="25" fillId="0" borderId="30" xfId="1" applyNumberFormat="1" applyFont="1" applyBorder="1">
      <protection locked="0"/>
    </xf>
    <xf numFmtId="0" fontId="24" fillId="0" borderId="29" xfId="0" applyFont="1" applyBorder="1" applyAlignment="1" applyProtection="1">
      <alignment vertical="center" wrapText="1"/>
      <protection locked="0"/>
    </xf>
    <xf numFmtId="49" fontId="22" fillId="0" borderId="59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3" fontId="20" fillId="0" borderId="17" xfId="1" applyNumberFormat="1" applyFont="1" applyBorder="1">
      <protection locked="0"/>
    </xf>
    <xf numFmtId="49" fontId="22" fillId="0" borderId="36" xfId="0" applyNumberFormat="1" applyFont="1" applyBorder="1" applyAlignment="1" applyProtection="1">
      <alignment vertical="center" wrapText="1"/>
      <protection locked="0"/>
    </xf>
    <xf numFmtId="0" fontId="22" fillId="0" borderId="37" xfId="0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12" xfId="0" applyNumberFormat="1" applyFont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vertical="center" wrapText="1"/>
      <protection locked="0"/>
    </xf>
    <xf numFmtId="3" fontId="20" fillId="2" borderId="17" xfId="0" applyNumberFormat="1" applyFont="1" applyFill="1" applyBorder="1" applyAlignment="1" applyProtection="1">
      <alignment vertical="center" wrapText="1"/>
      <protection locked="0"/>
    </xf>
    <xf numFmtId="168" fontId="20" fillId="0" borderId="17" xfId="2" applyNumberFormat="1" applyFont="1" applyBorder="1" applyAlignment="1" applyProtection="1">
      <alignment vertical="center"/>
    </xf>
    <xf numFmtId="0" fontId="26" fillId="0" borderId="0" xfId="0" applyFont="1"/>
    <xf numFmtId="3" fontId="22" fillId="2" borderId="30" xfId="0" applyNumberFormat="1" applyFont="1" applyFill="1" applyBorder="1" applyAlignment="1" applyProtection="1">
      <alignment vertical="center" wrapText="1"/>
      <protection locked="0"/>
    </xf>
    <xf numFmtId="3" fontId="22" fillId="2" borderId="12" xfId="0" applyNumberFormat="1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16" fillId="0" borderId="0" xfId="2" applyNumberFormat="1" applyBorder="1" applyProtection="1"/>
    <xf numFmtId="3" fontId="17" fillId="9" borderId="48" xfId="2" applyNumberFormat="1" applyFont="1" applyFill="1" applyBorder="1" applyProtection="1"/>
    <xf numFmtId="3" fontId="17" fillId="9" borderId="2" xfId="2" applyNumberFormat="1" applyFont="1" applyFill="1" applyBorder="1" applyProtection="1"/>
    <xf numFmtId="0" fontId="17" fillId="0" borderId="0" xfId="0" applyFont="1"/>
    <xf numFmtId="3" fontId="17" fillId="0" borderId="0" xfId="0" applyNumberFormat="1" applyFont="1"/>
    <xf numFmtId="0" fontId="7" fillId="0" borderId="0" xfId="0" applyFont="1"/>
    <xf numFmtId="0" fontId="29" fillId="0" borderId="0" xfId="0" applyFont="1" applyAlignment="1">
      <alignment horizontal="right"/>
    </xf>
    <xf numFmtId="3" fontId="30" fillId="0" borderId="61" xfId="0" applyNumberFormat="1" applyFont="1" applyBorder="1" applyAlignment="1">
      <alignment vertical="center" wrapText="1" shrinkToFit="1"/>
    </xf>
    <xf numFmtId="3" fontId="31" fillId="0" borderId="0" xfId="0" applyNumberFormat="1" applyFont="1"/>
    <xf numFmtId="3" fontId="10" fillId="10" borderId="48" xfId="0" applyNumberFormat="1" applyFont="1" applyFill="1" applyBorder="1" applyAlignment="1">
      <alignment vertical="center" wrapText="1" shrinkToFit="1"/>
    </xf>
    <xf numFmtId="3" fontId="10" fillId="10" borderId="2" xfId="0" applyNumberFormat="1" applyFont="1" applyFill="1" applyBorder="1" applyAlignment="1">
      <alignment vertical="center" wrapText="1" shrinkToFit="1"/>
    </xf>
    <xf numFmtId="49" fontId="32" fillId="0" borderId="30" xfId="0" applyNumberFormat="1" applyFont="1" applyBorder="1" applyAlignment="1">
      <alignment vertical="center" wrapText="1" shrinkToFit="1"/>
    </xf>
    <xf numFmtId="3" fontId="10" fillId="10" borderId="8" xfId="0" applyNumberFormat="1" applyFont="1" applyFill="1" applyBorder="1" applyAlignment="1">
      <alignment vertical="center" wrapText="1" shrinkToFit="1"/>
    </xf>
    <xf numFmtId="49" fontId="11" fillId="0" borderId="24" xfId="0" applyNumberFormat="1" applyFont="1" applyBorder="1" applyAlignment="1">
      <alignment horizontal="left" vertical="center" wrapText="1" shrinkToFit="1"/>
    </xf>
    <xf numFmtId="49" fontId="11" fillId="0" borderId="62" xfId="0" applyNumberFormat="1" applyFont="1" applyBorder="1" applyAlignment="1">
      <alignment horizontal="left" vertical="center" wrapText="1" shrinkToFit="1"/>
    </xf>
    <xf numFmtId="0" fontId="33" fillId="0" borderId="0" xfId="0" applyFont="1"/>
    <xf numFmtId="3" fontId="29" fillId="0" borderId="0" xfId="0" applyNumberFormat="1" applyFont="1"/>
    <xf numFmtId="3" fontId="10" fillId="10" borderId="48" xfId="0" applyNumberFormat="1" applyFont="1" applyFill="1" applyBorder="1"/>
    <xf numFmtId="3" fontId="10" fillId="10" borderId="2" xfId="0" applyNumberFormat="1" applyFont="1" applyFill="1" applyBorder="1"/>
    <xf numFmtId="3" fontId="10" fillId="10" borderId="53" xfId="0" applyNumberFormat="1" applyFont="1" applyFill="1" applyBorder="1" applyAlignment="1">
      <alignment vertical="center" wrapText="1" shrinkToFit="1"/>
    </xf>
    <xf numFmtId="49" fontId="10" fillId="10" borderId="51" xfId="0" applyNumberFormat="1" applyFont="1" applyFill="1" applyBorder="1" applyAlignment="1">
      <alignment horizontal="left" vertical="center" wrapText="1" shrinkToFit="1"/>
    </xf>
    <xf numFmtId="49" fontId="10" fillId="10" borderId="49" xfId="0" applyNumberFormat="1" applyFont="1" applyFill="1" applyBorder="1" applyAlignment="1">
      <alignment horizontal="left" vertical="center" wrapText="1" shrinkToFit="1"/>
    </xf>
    <xf numFmtId="3" fontId="10" fillId="10" borderId="1" xfId="0" applyNumberFormat="1" applyFont="1" applyFill="1" applyBorder="1" applyAlignment="1">
      <alignment vertical="center" wrapText="1" shrinkToFit="1"/>
    </xf>
    <xf numFmtId="49" fontId="10" fillId="10" borderId="51" xfId="0" applyNumberFormat="1" applyFont="1" applyFill="1" applyBorder="1" applyAlignment="1">
      <alignment vertical="center" wrapText="1" shrinkToFit="1"/>
    </xf>
    <xf numFmtId="49" fontId="10" fillId="10" borderId="49" xfId="0" applyNumberFormat="1" applyFont="1" applyFill="1" applyBorder="1" applyAlignment="1">
      <alignment vertical="center" wrapText="1" shrinkToFit="1"/>
    </xf>
    <xf numFmtId="3" fontId="10" fillId="10" borderId="1" xfId="0" applyNumberFormat="1" applyFont="1" applyFill="1" applyBorder="1" applyAlignment="1">
      <alignment vertical="center"/>
    </xf>
    <xf numFmtId="49" fontId="10" fillId="10" borderId="47" xfId="0" applyNumberFormat="1" applyFont="1" applyFill="1" applyBorder="1" applyAlignment="1">
      <alignment vertical="center" wrapText="1" shrinkToFit="1"/>
    </xf>
    <xf numFmtId="3" fontId="10" fillId="11" borderId="40" xfId="0" applyNumberFormat="1" applyFont="1" applyFill="1" applyBorder="1" applyAlignment="1">
      <alignment vertical="center" wrapText="1" shrinkToFit="1"/>
    </xf>
    <xf numFmtId="3" fontId="10" fillId="11" borderId="65" xfId="0" applyNumberFormat="1" applyFont="1" applyFill="1" applyBorder="1" applyAlignment="1">
      <alignment vertical="center" wrapText="1" shrinkToFit="1"/>
    </xf>
    <xf numFmtId="3" fontId="10" fillId="11" borderId="12" xfId="0" applyNumberFormat="1" applyFont="1" applyFill="1" applyBorder="1" applyAlignment="1">
      <alignment vertical="center" wrapText="1" shrinkToFit="1"/>
    </xf>
    <xf numFmtId="49" fontId="10" fillId="10" borderId="66" xfId="0" applyNumberFormat="1" applyFont="1" applyFill="1" applyBorder="1" applyAlignment="1">
      <alignment vertical="center" wrapText="1" shrinkToFit="1"/>
    </xf>
    <xf numFmtId="3" fontId="10" fillId="11" borderId="17" xfId="0" applyNumberFormat="1" applyFont="1" applyFill="1" applyBorder="1" applyAlignment="1">
      <alignment vertical="center" wrapText="1" shrinkToFit="1"/>
    </xf>
    <xf numFmtId="3" fontId="17" fillId="9" borderId="2" xfId="0" applyNumberFormat="1" applyFont="1" applyFill="1" applyBorder="1"/>
    <xf numFmtId="3" fontId="17" fillId="2" borderId="0" xfId="0" applyNumberFormat="1" applyFont="1" applyFill="1"/>
    <xf numFmtId="0" fontId="21" fillId="6" borderId="37" xfId="0" applyFont="1" applyFill="1" applyBorder="1" applyAlignment="1">
      <alignment horizontal="center" vertical="center" wrapText="1" shrinkToFit="1"/>
    </xf>
    <xf numFmtId="0" fontId="22" fillId="0" borderId="44" xfId="0" applyFont="1" applyBorder="1" applyAlignment="1" applyProtection="1">
      <alignment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9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169" fontId="0" fillId="0" borderId="0" xfId="0" applyNumberFormat="1"/>
    <xf numFmtId="0" fontId="16" fillId="0" borderId="0" xfId="0" applyFont="1"/>
    <xf numFmtId="170" fontId="0" fillId="0" borderId="0" xfId="0" applyNumberFormat="1"/>
    <xf numFmtId="3" fontId="0" fillId="2" borderId="0" xfId="0" applyNumberFormat="1" applyFill="1"/>
    <xf numFmtId="0" fontId="22" fillId="0" borderId="67" xfId="0" applyFont="1" applyBorder="1" applyAlignment="1" applyProtection="1">
      <alignment vertical="center" wrapText="1"/>
      <protection locked="0"/>
    </xf>
    <xf numFmtId="169" fontId="22" fillId="2" borderId="0" xfId="0" applyNumberFormat="1" applyFont="1" applyFill="1" applyAlignment="1" applyProtection="1">
      <alignment horizontal="center" vertical="center" wrapText="1"/>
      <protection locked="0"/>
    </xf>
    <xf numFmtId="49" fontId="20" fillId="0" borderId="34" xfId="0" applyNumberFormat="1" applyFont="1" applyBorder="1" applyAlignment="1">
      <alignment horizontal="left" vertical="center" wrapText="1" shrinkToFit="1"/>
    </xf>
    <xf numFmtId="0" fontId="20" fillId="0" borderId="35" xfId="0" applyFont="1" applyBorder="1" applyAlignment="1">
      <alignment horizontal="left" vertical="center" wrapText="1" shrinkToFit="1"/>
    </xf>
    <xf numFmtId="3" fontId="20" fillId="0" borderId="35" xfId="0" applyNumberFormat="1" applyFont="1" applyBorder="1" applyAlignment="1">
      <alignment horizontal="right" vertical="center" wrapText="1" shrinkToFit="1"/>
    </xf>
    <xf numFmtId="3" fontId="20" fillId="0" borderId="17" xfId="0" applyNumberFormat="1" applyFont="1" applyBorder="1" applyAlignment="1">
      <alignment horizontal="right" vertical="center" wrapText="1" shrinkToFit="1"/>
    </xf>
    <xf numFmtId="3" fontId="20" fillId="0" borderId="17" xfId="2" applyNumberFormat="1" applyFont="1" applyBorder="1" applyAlignment="1" applyProtection="1">
      <alignment vertical="center"/>
    </xf>
    <xf numFmtId="0" fontId="16" fillId="2" borderId="0" xfId="0" applyFont="1" applyFill="1"/>
    <xf numFmtId="3" fontId="18" fillId="11" borderId="48" xfId="0" applyNumberFormat="1" applyFont="1" applyFill="1" applyBorder="1" applyAlignment="1" applyProtection="1">
      <alignment vertical="center" wrapText="1"/>
      <protection locked="0"/>
    </xf>
    <xf numFmtId="3" fontId="18" fillId="11" borderId="2" xfId="0" applyNumberFormat="1" applyFont="1" applyFill="1" applyBorder="1" applyAlignment="1" applyProtection="1">
      <alignment vertical="center" wrapText="1"/>
      <protection locked="0"/>
    </xf>
    <xf numFmtId="3" fontId="20" fillId="0" borderId="12" xfId="2" applyNumberFormat="1" applyFont="1" applyBorder="1" applyProtection="1"/>
    <xf numFmtId="3" fontId="20" fillId="0" borderId="17" xfId="2" applyNumberFormat="1" applyFont="1" applyBorder="1" applyProtection="1"/>
    <xf numFmtId="3" fontId="16" fillId="0" borderId="12" xfId="2" applyNumberFormat="1" applyBorder="1" applyProtection="1"/>
    <xf numFmtId="3" fontId="21" fillId="0" borderId="2" xfId="2" applyNumberFormat="1" applyFont="1" applyBorder="1" applyProtection="1"/>
    <xf numFmtId="3" fontId="34" fillId="0" borderId="0" xfId="0" applyNumberFormat="1" applyFont="1"/>
    <xf numFmtId="0" fontId="34" fillId="0" borderId="0" xfId="0" applyFont="1"/>
    <xf numFmtId="49" fontId="22" fillId="0" borderId="30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/>
    <xf numFmtId="3" fontId="22" fillId="0" borderId="43" xfId="0" applyNumberFormat="1" applyFont="1" applyBorder="1" applyAlignment="1" applyProtection="1">
      <alignment vertical="center" wrapText="1"/>
      <protection locked="0"/>
    </xf>
    <xf numFmtId="0" fontId="22" fillId="0" borderId="36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right"/>
    </xf>
    <xf numFmtId="3" fontId="40" fillId="0" borderId="0" xfId="1" applyNumberFormat="1" applyBorder="1">
      <protection locked="0"/>
    </xf>
    <xf numFmtId="0" fontId="17" fillId="2" borderId="0" xfId="0" applyFont="1" applyFill="1"/>
    <xf numFmtId="3" fontId="17" fillId="2" borderId="0" xfId="1" applyNumberFormat="1" applyFont="1" applyFill="1" applyBorder="1">
      <protection locked="0"/>
    </xf>
    <xf numFmtId="3" fontId="22" fillId="2" borderId="35" xfId="0" applyNumberFormat="1" applyFont="1" applyFill="1" applyBorder="1" applyAlignment="1" applyProtection="1">
      <alignment vertical="center" wrapText="1"/>
      <protection locked="0"/>
    </xf>
    <xf numFmtId="3" fontId="22" fillId="2" borderId="17" xfId="0" applyNumberFormat="1" applyFont="1" applyFill="1" applyBorder="1" applyAlignment="1" applyProtection="1">
      <alignment vertical="center" wrapText="1"/>
      <protection locked="0"/>
    </xf>
    <xf numFmtId="3" fontId="18" fillId="2" borderId="8" xfId="0" applyNumberFormat="1" applyFont="1" applyFill="1" applyBorder="1" applyAlignment="1" applyProtection="1">
      <alignment vertical="center" wrapText="1"/>
      <protection locked="0"/>
    </xf>
    <xf numFmtId="3" fontId="18" fillId="2" borderId="2" xfId="0" applyNumberFormat="1" applyFont="1" applyFill="1" applyBorder="1" applyAlignment="1" applyProtection="1">
      <alignment vertical="center" wrapText="1"/>
      <protection locked="0"/>
    </xf>
    <xf numFmtId="3" fontId="18" fillId="2" borderId="48" xfId="0" applyNumberFormat="1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3" fontId="20" fillId="0" borderId="21" xfId="0" applyNumberFormat="1" applyFont="1" applyBorder="1" applyAlignment="1">
      <alignment horizontal="right" vertical="center" wrapText="1" shrinkToFit="1"/>
    </xf>
    <xf numFmtId="3" fontId="22" fillId="0" borderId="21" xfId="0" applyNumberFormat="1" applyFont="1" applyBorder="1" applyAlignment="1" applyProtection="1">
      <alignment vertical="center" wrapText="1"/>
      <protection locked="0"/>
    </xf>
    <xf numFmtId="169" fontId="22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7" fillId="9" borderId="4" xfId="0" applyFont="1" applyFill="1" applyBorder="1" applyAlignment="1">
      <alignment horizontal="left"/>
    </xf>
    <xf numFmtId="0" fontId="21" fillId="12" borderId="38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center" vertical="center" wrapText="1"/>
      <protection locked="0"/>
    </xf>
    <xf numFmtId="3" fontId="22" fillId="0" borderId="14" xfId="0" applyNumberFormat="1" applyFont="1" applyBorder="1" applyAlignment="1" applyProtection="1">
      <alignment vertical="center" wrapText="1"/>
      <protection locked="0"/>
    </xf>
    <xf numFmtId="3" fontId="18" fillId="4" borderId="14" xfId="0" applyNumberFormat="1" applyFont="1" applyFill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horizontal="center" vertical="center" wrapText="1"/>
      <protection locked="0"/>
    </xf>
    <xf numFmtId="9" fontId="20" fillId="0" borderId="30" xfId="0" applyNumberFormat="1" applyFont="1" applyBorder="1" applyAlignment="1">
      <alignment horizontal="center" vertical="center" wrapText="1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4" borderId="64" xfId="0" applyFont="1" applyFill="1" applyBorder="1" applyAlignment="1" applyProtection="1">
      <alignment vertical="center" wrapText="1"/>
      <protection locked="0"/>
    </xf>
    <xf numFmtId="9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0" xfId="0" applyNumberFormat="1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4" fillId="0" borderId="64" xfId="0" applyFont="1" applyBorder="1" applyAlignment="1" applyProtection="1">
      <alignment vertical="center" wrapText="1"/>
      <protection locked="0"/>
    </xf>
    <xf numFmtId="3" fontId="22" fillId="0" borderId="64" xfId="0" applyNumberFormat="1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3" fontId="25" fillId="0" borderId="0" xfId="0" applyNumberFormat="1" applyFont="1"/>
    <xf numFmtId="0" fontId="29" fillId="0" borderId="0" xfId="0" applyFont="1"/>
    <xf numFmtId="3" fontId="18" fillId="4" borderId="8" xfId="0" applyNumberFormat="1" applyFont="1" applyFill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18" fillId="4" borderId="21" xfId="0" applyNumberFormat="1" applyFont="1" applyFill="1" applyBorder="1" applyAlignment="1" applyProtection="1">
      <alignment vertical="center" wrapText="1"/>
      <protection locked="0"/>
    </xf>
    <xf numFmtId="3" fontId="36" fillId="0" borderId="0" xfId="0" applyNumberFormat="1" applyFont="1"/>
    <xf numFmtId="9" fontId="22" fillId="4" borderId="35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2" xfId="0" applyNumberFormat="1" applyFont="1" applyFill="1" applyBorder="1" applyAlignment="1" applyProtection="1">
      <alignment vertical="center" wrapText="1"/>
      <protection locked="0"/>
    </xf>
    <xf numFmtId="3" fontId="37" fillId="0" borderId="0" xfId="0" applyNumberFormat="1" applyFont="1"/>
    <xf numFmtId="3" fontId="22" fillId="0" borderId="28" xfId="0" applyNumberFormat="1" applyFont="1" applyBorder="1" applyAlignment="1" applyProtection="1">
      <alignment vertical="center" wrapText="1"/>
      <protection locked="0"/>
    </xf>
    <xf numFmtId="0" fontId="22" fillId="0" borderId="51" xfId="0" applyFont="1" applyBorder="1" applyAlignment="1" applyProtection="1">
      <alignment vertical="center" wrapText="1"/>
      <protection locked="0"/>
    </xf>
    <xf numFmtId="0" fontId="26" fillId="2" borderId="0" xfId="0" applyFont="1" applyFill="1"/>
    <xf numFmtId="171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14" xfId="2" applyNumberFormat="1" applyFont="1" applyBorder="1" applyProtection="1"/>
    <xf numFmtId="3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20" fillId="0" borderId="21" xfId="2" applyNumberFormat="1" applyFont="1" applyBorder="1" applyProtection="1"/>
    <xf numFmtId="3" fontId="38" fillId="0" borderId="14" xfId="2" applyNumberFormat="1" applyFont="1" applyBorder="1" applyProtection="1"/>
    <xf numFmtId="3" fontId="21" fillId="13" borderId="2" xfId="2" applyNumberFormat="1" applyFont="1" applyFill="1" applyBorder="1" applyProtection="1"/>
    <xf numFmtId="0" fontId="25" fillId="0" borderId="0" xfId="0" applyFont="1"/>
    <xf numFmtId="3" fontId="24" fillId="4" borderId="30" xfId="0" applyNumberFormat="1" applyFont="1" applyFill="1" applyBorder="1" applyAlignment="1" applyProtection="1">
      <alignment vertical="center" wrapText="1"/>
      <protection locked="0"/>
    </xf>
    <xf numFmtId="0" fontId="22" fillId="4" borderId="37" xfId="0" applyFont="1" applyFill="1" applyBorder="1" applyAlignment="1" applyProtection="1">
      <alignment vertical="center" wrapText="1"/>
      <protection locked="0"/>
    </xf>
    <xf numFmtId="3" fontId="22" fillId="4" borderId="37" xfId="0" applyNumberFormat="1" applyFont="1" applyFill="1" applyBorder="1" applyAlignment="1" applyProtection="1">
      <alignment vertical="center" wrapText="1"/>
      <protection locked="0"/>
    </xf>
    <xf numFmtId="9" fontId="22" fillId="4" borderId="37" xfId="0" applyNumberFormat="1" applyFont="1" applyFill="1" applyBorder="1" applyAlignment="1" applyProtection="1">
      <alignment horizontal="center" vertical="center" wrapText="1"/>
      <protection locked="0"/>
    </xf>
    <xf numFmtId="3" fontId="18" fillId="4" borderId="38" xfId="0" applyNumberFormat="1" applyFont="1" applyFill="1" applyBorder="1" applyAlignment="1" applyProtection="1">
      <alignment vertical="center" wrapText="1"/>
      <protection locked="0"/>
    </xf>
    <xf numFmtId="3" fontId="22" fillId="2" borderId="14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0" fontId="37" fillId="0" borderId="0" xfId="0" applyFont="1"/>
    <xf numFmtId="49" fontId="22" fillId="0" borderId="54" xfId="0" applyNumberFormat="1" applyFont="1" applyBorder="1" applyAlignment="1" applyProtection="1">
      <alignment vertical="center" wrapText="1"/>
      <protection locked="0"/>
    </xf>
    <xf numFmtId="49" fontId="20" fillId="2" borderId="59" xfId="0" applyNumberFormat="1" applyFont="1" applyFill="1" applyBorder="1" applyAlignment="1">
      <alignment horizontal="left" vertical="center" wrapText="1" shrinkToFit="1"/>
    </xf>
    <xf numFmtId="0" fontId="39" fillId="0" borderId="0" xfId="0" applyFont="1"/>
    <xf numFmtId="0" fontId="39" fillId="2" borderId="0" xfId="0" applyFont="1" applyFill="1"/>
    <xf numFmtId="0" fontId="20" fillId="0" borderId="35" xfId="0" applyFont="1" applyBorder="1" applyAlignment="1">
      <alignment vertical="center" wrapText="1" shrinkToFit="1"/>
    </xf>
    <xf numFmtId="0" fontId="21" fillId="0" borderId="30" xfId="0" applyFont="1" applyBorder="1" applyAlignment="1">
      <alignment horizontal="center" vertical="center" wrapText="1" shrinkToFit="1"/>
    </xf>
    <xf numFmtId="3" fontId="21" fillId="0" borderId="21" xfId="0" applyNumberFormat="1" applyFont="1" applyBorder="1" applyAlignment="1">
      <alignment horizontal="right" vertical="center" wrapText="1" shrinkToFit="1"/>
    </xf>
    <xf numFmtId="0" fontId="26" fillId="0" borderId="0" xfId="0" applyFont="1" applyAlignment="1">
      <alignment horizontal="left"/>
    </xf>
    <xf numFmtId="3" fontId="22" fillId="0" borderId="0" xfId="0" applyNumberFormat="1" applyFont="1" applyAlignment="1" applyProtection="1">
      <alignment vertical="center" wrapText="1"/>
      <protection locked="0"/>
    </xf>
    <xf numFmtId="3" fontId="24" fillId="0" borderId="20" xfId="0" applyNumberFormat="1" applyFont="1" applyBorder="1" applyAlignment="1" applyProtection="1">
      <alignment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3" fontId="24" fillId="0" borderId="21" xfId="0" applyNumberFormat="1" applyFont="1" applyBorder="1" applyAlignment="1" applyProtection="1">
      <alignment vertical="center" wrapText="1"/>
      <protection locked="0"/>
    </xf>
    <xf numFmtId="0" fontId="18" fillId="4" borderId="52" xfId="0" applyFont="1" applyFill="1" applyBorder="1" applyAlignment="1" applyProtection="1">
      <alignment vertical="center" wrapText="1"/>
      <protection locked="0"/>
    </xf>
    <xf numFmtId="3" fontId="22" fillId="4" borderId="52" xfId="0" applyNumberFormat="1" applyFont="1" applyFill="1" applyBorder="1" applyAlignment="1" applyProtection="1">
      <alignment vertical="center" wrapText="1"/>
      <protection locked="0"/>
    </xf>
    <xf numFmtId="3" fontId="18" fillId="4" borderId="70" xfId="0" applyNumberFormat="1" applyFont="1" applyFill="1" applyBorder="1" applyAlignment="1" applyProtection="1">
      <alignment vertical="center" wrapText="1"/>
      <protection locked="0"/>
    </xf>
    <xf numFmtId="49" fontId="20" fillId="2" borderId="34" xfId="0" applyNumberFormat="1" applyFont="1" applyFill="1" applyBorder="1" applyAlignment="1">
      <alignment vertical="center" wrapText="1"/>
    </xf>
    <xf numFmtId="3" fontId="24" fillId="0" borderId="35" xfId="0" applyNumberFormat="1" applyFont="1" applyBorder="1" applyAlignment="1" applyProtection="1">
      <alignment vertical="center" wrapText="1"/>
      <protection locked="0"/>
    </xf>
    <xf numFmtId="49" fontId="20" fillId="2" borderId="29" xfId="0" applyNumberFormat="1" applyFont="1" applyFill="1" applyBorder="1" applyAlignment="1">
      <alignment vertical="center" wrapText="1"/>
    </xf>
    <xf numFmtId="3" fontId="22" fillId="0" borderId="37" xfId="0" applyNumberFormat="1" applyFont="1" applyBorder="1" applyAlignment="1" applyProtection="1">
      <alignment horizontal="center" vertical="center" wrapText="1"/>
      <protection locked="0"/>
    </xf>
    <xf numFmtId="3" fontId="17" fillId="12" borderId="2" xfId="0" applyNumberFormat="1" applyFont="1" applyFill="1" applyBorder="1"/>
    <xf numFmtId="165" fontId="40" fillId="0" borderId="29" xfId="1" applyNumberFormat="1" applyBorder="1">
      <protection locked="0"/>
    </xf>
    <xf numFmtId="165" fontId="40" fillId="0" borderId="64" xfId="1" applyNumberFormat="1" applyBorder="1">
      <protection locked="0"/>
    </xf>
    <xf numFmtId="165" fontId="40" fillId="0" borderId="41" xfId="1" applyNumberFormat="1" applyBorder="1">
      <protection locked="0"/>
    </xf>
    <xf numFmtId="165" fontId="40" fillId="0" borderId="34" xfId="1" applyNumberFormat="1" applyBorder="1">
      <protection locked="0"/>
    </xf>
    <xf numFmtId="165" fontId="40" fillId="0" borderId="67" xfId="1" applyNumberFormat="1" applyBorder="1">
      <protection locked="0"/>
    </xf>
    <xf numFmtId="165" fontId="40" fillId="0" borderId="50" xfId="1" applyNumberFormat="1" applyBorder="1">
      <protection locked="0"/>
    </xf>
    <xf numFmtId="3" fontId="16" fillId="0" borderId="0" xfId="1" applyNumberFormat="1" applyFont="1" applyBorder="1" applyAlignment="1">
      <alignment vertical="center" readingOrder="1"/>
      <protection locked="0"/>
    </xf>
    <xf numFmtId="3" fontId="18" fillId="0" borderId="14" xfId="0" applyNumberFormat="1" applyFont="1" applyBorder="1" applyAlignment="1" applyProtection="1">
      <alignment vertical="center" wrapText="1"/>
      <protection locked="0"/>
    </xf>
    <xf numFmtId="9" fontId="22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17" borderId="14" xfId="0" applyNumberFormat="1" applyFont="1" applyFill="1" applyBorder="1" applyAlignment="1" applyProtection="1">
      <alignment vertical="center" wrapText="1"/>
      <protection locked="0"/>
    </xf>
    <xf numFmtId="0" fontId="7" fillId="18" borderId="0" xfId="0" applyFont="1" applyFill="1"/>
    <xf numFmtId="3" fontId="7" fillId="16" borderId="0" xfId="0" applyNumberFormat="1" applyFont="1" applyFill="1"/>
    <xf numFmtId="0" fontId="7" fillId="16" borderId="0" xfId="0" applyFont="1" applyFill="1"/>
    <xf numFmtId="9" fontId="2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20" fillId="0" borderId="35" xfId="0" applyFont="1" applyBorder="1" applyAlignment="1">
      <alignment horizontal="right" vertical="center" wrapText="1" shrinkToFit="1"/>
    </xf>
    <xf numFmtId="165" fontId="1" fillId="0" borderId="0" xfId="0" applyNumberFormat="1" applyFont="1"/>
    <xf numFmtId="3" fontId="7" fillId="0" borderId="0" xfId="0" applyNumberFormat="1" applyFont="1"/>
    <xf numFmtId="49" fontId="20" fillId="2" borderId="36" xfId="0" applyNumberFormat="1" applyFont="1" applyFill="1" applyBorder="1" applyAlignment="1">
      <alignment vertical="center" wrapText="1"/>
    </xf>
    <xf numFmtId="49" fontId="42" fillId="3" borderId="29" xfId="0" applyNumberFormat="1" applyFont="1" applyFill="1" applyBorder="1" applyAlignment="1">
      <alignment horizontal="center"/>
    </xf>
    <xf numFmtId="3" fontId="20" fillId="0" borderId="30" xfId="1" applyNumberFormat="1" applyFont="1" applyBorder="1">
      <protection locked="0"/>
    </xf>
    <xf numFmtId="3" fontId="20" fillId="0" borderId="12" xfId="1" applyNumberFormat="1" applyFont="1" applyBorder="1">
      <protection locked="0"/>
    </xf>
    <xf numFmtId="0" fontId="22" fillId="4" borderId="41" xfId="0" applyFont="1" applyFill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vertical="center" wrapText="1"/>
      <protection locked="0"/>
    </xf>
    <xf numFmtId="49" fontId="12" fillId="5" borderId="54" xfId="0" applyNumberFormat="1" applyFont="1" applyFill="1" applyBorder="1" applyAlignment="1">
      <alignment vertical="center" wrapText="1" shrinkToFit="1"/>
    </xf>
    <xf numFmtId="49" fontId="12" fillId="5" borderId="74" xfId="0" applyNumberFormat="1" applyFont="1" applyFill="1" applyBorder="1" applyAlignment="1">
      <alignment vertical="center" wrapText="1" shrinkToFit="1"/>
    </xf>
    <xf numFmtId="3" fontId="12" fillId="3" borderId="39" xfId="0" applyNumberFormat="1" applyFont="1" applyFill="1" applyBorder="1" applyAlignment="1">
      <alignment vertical="center" wrapText="1" shrinkToFit="1"/>
    </xf>
    <xf numFmtId="0" fontId="43" fillId="0" borderId="0" xfId="0" applyFont="1"/>
    <xf numFmtId="0" fontId="44" fillId="0" borderId="0" xfId="0" applyFont="1"/>
    <xf numFmtId="168" fontId="44" fillId="0" borderId="0" xfId="2" applyNumberFormat="1" applyFont="1" applyBorder="1" applyProtection="1"/>
    <xf numFmtId="167" fontId="44" fillId="0" borderId="0" xfId="2" applyNumberFormat="1" applyFont="1" applyBorder="1" applyProtection="1"/>
    <xf numFmtId="0" fontId="45" fillId="0" borderId="0" xfId="0" applyFont="1"/>
    <xf numFmtId="0" fontId="5" fillId="0" borderId="0" xfId="0" applyFont="1" applyAlignment="1">
      <alignment horizontal="right"/>
    </xf>
    <xf numFmtId="9" fontId="40" fillId="0" borderId="13" xfId="1" applyNumberFormat="1" applyBorder="1" applyAlignment="1">
      <alignment horizontal="center"/>
      <protection locked="0"/>
    </xf>
    <xf numFmtId="9" fontId="40" fillId="0" borderId="27" xfId="1" applyNumberFormat="1" applyBorder="1" applyAlignment="1">
      <alignment horizontal="center"/>
      <protection locked="0"/>
    </xf>
    <xf numFmtId="0" fontId="8" fillId="19" borderId="37" xfId="0" applyFont="1" applyFill="1" applyBorder="1" applyAlignment="1">
      <alignment horizontal="center" vertical="center" wrapText="1" shrinkToFit="1"/>
    </xf>
    <xf numFmtId="3" fontId="11" fillId="0" borderId="25" xfId="0" applyNumberFormat="1" applyFont="1" applyBorder="1" applyAlignment="1">
      <alignment vertical="center" wrapText="1" shrinkToFit="1"/>
    </xf>
    <xf numFmtId="3" fontId="11" fillId="0" borderId="30" xfId="0" applyNumberFormat="1" applyFont="1" applyBorder="1" applyAlignment="1">
      <alignment vertical="center" wrapText="1" shrinkToFit="1"/>
    </xf>
    <xf numFmtId="3" fontId="11" fillId="0" borderId="45" xfId="0" applyNumberFormat="1" applyFont="1" applyBorder="1" applyAlignment="1">
      <alignment vertical="center" wrapText="1" shrinkToFit="1"/>
    </xf>
    <xf numFmtId="0" fontId="46" fillId="2" borderId="0" xfId="0" applyFont="1" applyFill="1" applyAlignment="1">
      <alignment horizontal="right"/>
    </xf>
    <xf numFmtId="165" fontId="40" fillId="0" borderId="71" xfId="1" applyNumberFormat="1" applyBorder="1">
      <protection locked="0"/>
    </xf>
    <xf numFmtId="0" fontId="1" fillId="3" borderId="58" xfId="0" applyFont="1" applyFill="1" applyBorder="1"/>
    <xf numFmtId="0" fontId="1" fillId="3" borderId="41" xfId="0" applyFont="1" applyFill="1" applyBorder="1"/>
    <xf numFmtId="0" fontId="1" fillId="3" borderId="50" xfId="0" applyFont="1" applyFill="1" applyBorder="1"/>
    <xf numFmtId="0" fontId="1" fillId="3" borderId="42" xfId="0" applyFont="1" applyFill="1" applyBorder="1"/>
    <xf numFmtId="165" fontId="40" fillId="0" borderId="15" xfId="1" applyNumberFormat="1" applyBorder="1">
      <protection locked="0"/>
    </xf>
    <xf numFmtId="165" fontId="40" fillId="0" borderId="18" xfId="1" applyNumberFormat="1" applyBorder="1">
      <protection locked="0"/>
    </xf>
    <xf numFmtId="165" fontId="40" fillId="0" borderId="69" xfId="1" applyNumberFormat="1" applyBorder="1">
      <protection locked="0"/>
    </xf>
    <xf numFmtId="3" fontId="22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0" borderId="48" xfId="0" applyNumberFormat="1" applyFont="1" applyBorder="1" applyAlignment="1" applyProtection="1">
      <alignment horizontal="center" vertical="center" wrapText="1"/>
      <protection locked="0"/>
    </xf>
    <xf numFmtId="3" fontId="20" fillId="0" borderId="35" xfId="0" applyNumberFormat="1" applyFont="1" applyBorder="1" applyAlignment="1">
      <alignment horizontal="center" vertical="center" wrapText="1" shrinkToFit="1"/>
    </xf>
    <xf numFmtId="3" fontId="22" fillId="0" borderId="14" xfId="0" applyNumberFormat="1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center" vertical="center" wrapText="1"/>
      <protection locked="0"/>
    </xf>
    <xf numFmtId="3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7" fillId="9" borderId="2" xfId="0" applyNumberFormat="1" applyFont="1" applyFill="1" applyBorder="1" applyAlignment="1">
      <alignment horizontal="center"/>
    </xf>
    <xf numFmtId="3" fontId="9" fillId="0" borderId="45" xfId="0" applyNumberFormat="1" applyFont="1" applyBorder="1" applyAlignment="1">
      <alignment horizontal="center" vertical="center" wrapText="1" shrinkToFit="1"/>
    </xf>
    <xf numFmtId="3" fontId="22" fillId="0" borderId="45" xfId="0" applyNumberFormat="1" applyFont="1" applyBorder="1" applyAlignment="1" applyProtection="1">
      <alignment horizontal="center" wrapText="1"/>
      <protection locked="0"/>
    </xf>
    <xf numFmtId="3" fontId="20" fillId="0" borderId="45" xfId="1" applyNumberFormat="1" applyFont="1" applyBorder="1" applyAlignment="1">
      <alignment horizontal="center"/>
      <protection locked="0"/>
    </xf>
    <xf numFmtId="3" fontId="25" fillId="0" borderId="45" xfId="1" applyNumberFormat="1" applyFont="1" applyBorder="1" applyAlignment="1">
      <alignment horizontal="center"/>
      <protection locked="0"/>
    </xf>
    <xf numFmtId="3" fontId="22" fillId="4" borderId="41" xfId="0" applyNumberFormat="1" applyFont="1" applyFill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horizontal="center" vertical="center" wrapText="1"/>
      <protection locked="0"/>
    </xf>
    <xf numFmtId="3" fontId="10" fillId="5" borderId="49" xfId="0" applyNumberFormat="1" applyFont="1" applyFill="1" applyBorder="1" applyAlignment="1">
      <alignment horizontal="center" vertical="center" wrapText="1" shrinkToFit="1"/>
    </xf>
    <xf numFmtId="3" fontId="10" fillId="5" borderId="48" xfId="0" applyNumberFormat="1" applyFont="1" applyFill="1" applyBorder="1" applyAlignment="1">
      <alignment horizontal="center" vertical="center" wrapText="1" shrinkToFit="1"/>
    </xf>
    <xf numFmtId="3" fontId="12" fillId="5" borderId="48" xfId="0" applyNumberFormat="1" applyFont="1" applyFill="1" applyBorder="1" applyAlignment="1">
      <alignment horizontal="center" vertical="center" wrapText="1" shrinkToFit="1"/>
    </xf>
    <xf numFmtId="0" fontId="22" fillId="4" borderId="30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4" borderId="35" xfId="0" applyFont="1" applyFill="1" applyBorder="1" applyAlignment="1" applyProtection="1">
      <alignment vertical="center" wrapText="1"/>
      <protection locked="0"/>
    </xf>
    <xf numFmtId="3" fontId="22" fillId="4" borderId="35" xfId="0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 applyProtection="1">
      <alignment vertical="center" wrapText="1"/>
      <protection locked="0"/>
    </xf>
    <xf numFmtId="172" fontId="22" fillId="0" borderId="30" xfId="0" applyNumberFormat="1" applyFont="1" applyBorder="1" applyAlignment="1" applyProtection="1">
      <alignment horizontal="center" vertical="center" wrapText="1"/>
      <protection locked="0"/>
    </xf>
    <xf numFmtId="3" fontId="18" fillId="0" borderId="52" xfId="0" applyNumberFormat="1" applyFont="1" applyBorder="1" applyAlignment="1" applyProtection="1">
      <alignment vertical="center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1" xfId="0" applyNumberFormat="1" applyFont="1" applyBorder="1" applyAlignment="1" applyProtection="1">
      <alignment vertical="center" wrapText="1"/>
      <protection locked="0"/>
    </xf>
    <xf numFmtId="3" fontId="18" fillId="13" borderId="1" xfId="0" applyNumberFormat="1" applyFont="1" applyFill="1" applyBorder="1" applyAlignment="1" applyProtection="1">
      <alignment vertical="center" wrapText="1"/>
      <protection locked="0"/>
    </xf>
    <xf numFmtId="0" fontId="21" fillId="0" borderId="60" xfId="0" applyFont="1" applyBorder="1" applyAlignment="1">
      <alignment horizontal="center" vertical="center" wrapText="1" shrinkToFit="1"/>
    </xf>
    <xf numFmtId="3" fontId="20" fillId="0" borderId="60" xfId="0" applyNumberFormat="1" applyFont="1" applyBorder="1" applyAlignment="1">
      <alignment horizontal="right" vertical="center" wrapText="1" shrinkToFit="1"/>
    </xf>
    <xf numFmtId="3" fontId="18" fillId="0" borderId="21" xfId="0" applyNumberFormat="1" applyFont="1" applyBorder="1" applyAlignment="1" applyProtection="1">
      <alignment vertical="center" wrapText="1"/>
      <protection locked="0"/>
    </xf>
    <xf numFmtId="3" fontId="21" fillId="0" borderId="33" xfId="0" applyNumberFormat="1" applyFont="1" applyBorder="1" applyAlignment="1">
      <alignment horizontal="right" vertical="center" wrapText="1" shrinkToFit="1"/>
    </xf>
    <xf numFmtId="0" fontId="22" fillId="0" borderId="66" xfId="0" applyFont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horizontal="center" vertical="center" wrapText="1"/>
      <protection locked="0"/>
    </xf>
    <xf numFmtId="3" fontId="18" fillId="0" borderId="53" xfId="0" applyNumberFormat="1" applyFont="1" applyBorder="1" applyAlignment="1" applyProtection="1">
      <alignment horizontal="center" vertical="center" wrapText="1"/>
      <protection locked="0"/>
    </xf>
    <xf numFmtId="3" fontId="20" fillId="0" borderId="1" xfId="0" applyNumberFormat="1" applyFont="1" applyBorder="1" applyAlignment="1">
      <alignment horizontal="right" vertical="center" wrapText="1" shrinkToFit="1"/>
    </xf>
    <xf numFmtId="0" fontId="7" fillId="17" borderId="0" xfId="0" applyFont="1" applyFill="1"/>
    <xf numFmtId="0" fontId="0" fillId="17" borderId="0" xfId="0" applyFill="1"/>
    <xf numFmtId="6" fontId="7" fillId="17" borderId="0" xfId="0" applyNumberFormat="1" applyFont="1" applyFill="1"/>
    <xf numFmtId="9" fontId="22" fillId="4" borderId="41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39" xfId="0" applyNumberFormat="1" applyFont="1" applyFill="1" applyBorder="1" applyAlignment="1" applyProtection="1">
      <alignment vertical="center" wrapText="1"/>
      <protection locked="0"/>
    </xf>
    <xf numFmtId="3" fontId="22" fillId="2" borderId="45" xfId="0" applyNumberFormat="1" applyFont="1" applyFill="1" applyBorder="1" applyAlignment="1" applyProtection="1">
      <alignment vertical="center" wrapText="1"/>
      <protection locked="0"/>
    </xf>
    <xf numFmtId="3" fontId="22" fillId="2" borderId="9" xfId="0" applyNumberFormat="1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right" vertical="center" wrapText="1"/>
      <protection locked="0"/>
    </xf>
    <xf numFmtId="3" fontId="22" fillId="0" borderId="64" xfId="0" applyNumberFormat="1" applyFont="1" applyBorder="1" applyAlignment="1" applyProtection="1">
      <alignment horizontal="center" vertical="center" wrapText="1"/>
      <protection locked="0"/>
    </xf>
    <xf numFmtId="0" fontId="25" fillId="2" borderId="0" xfId="0" applyFont="1" applyFill="1"/>
    <xf numFmtId="170" fontId="25" fillId="0" borderId="0" xfId="0" applyNumberFormat="1" applyFont="1"/>
    <xf numFmtId="0" fontId="47" fillId="2" borderId="0" xfId="0" applyFont="1" applyFill="1"/>
    <xf numFmtId="0" fontId="47" fillId="0" borderId="0" xfId="0" applyFont="1"/>
    <xf numFmtId="0" fontId="48" fillId="0" borderId="0" xfId="0" applyFont="1"/>
    <xf numFmtId="3" fontId="48" fillId="0" borderId="0" xfId="0" applyNumberFormat="1" applyFont="1"/>
    <xf numFmtId="3" fontId="24" fillId="0" borderId="35" xfId="0" applyNumberFormat="1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 applyProtection="1">
      <alignment vertical="center" wrapText="1"/>
      <protection locked="0"/>
    </xf>
    <xf numFmtId="3" fontId="20" fillId="0" borderId="30" xfId="0" applyNumberFormat="1" applyFont="1" applyBorder="1" applyAlignment="1" applyProtection="1">
      <alignment horizontal="center" vertical="center" wrapText="1"/>
      <protection locked="0"/>
    </xf>
    <xf numFmtId="3" fontId="21" fillId="0" borderId="14" xfId="0" applyNumberFormat="1" applyFont="1" applyBorder="1" applyAlignment="1" applyProtection="1">
      <alignment vertical="center" wrapText="1"/>
      <protection locked="0"/>
    </xf>
    <xf numFmtId="0" fontId="22" fillId="0" borderId="25" xfId="0" applyFont="1" applyBorder="1" applyAlignment="1" applyProtection="1">
      <alignment vertical="center" wrapText="1"/>
      <protection locked="0"/>
    </xf>
    <xf numFmtId="3" fontId="18" fillId="0" borderId="26" xfId="0" applyNumberFormat="1" applyFont="1" applyBorder="1" applyAlignment="1" applyProtection="1">
      <alignment vertical="center" wrapText="1"/>
      <protection locked="0"/>
    </xf>
    <xf numFmtId="49" fontId="22" fillId="0" borderId="24" xfId="0" applyNumberFormat="1" applyFont="1" applyBorder="1" applyAlignment="1" applyProtection="1">
      <alignment vertical="center" wrapText="1"/>
      <protection locked="0"/>
    </xf>
    <xf numFmtId="3" fontId="22" fillId="0" borderId="26" xfId="0" applyNumberFormat="1" applyFont="1" applyBorder="1" applyAlignment="1" applyProtection="1">
      <alignment vertical="center" wrapText="1"/>
      <protection locked="0"/>
    </xf>
    <xf numFmtId="0" fontId="0" fillId="0" borderId="30" xfId="0" applyBorder="1" applyAlignment="1">
      <alignment vertical="center" wrapText="1"/>
    </xf>
    <xf numFmtId="3" fontId="20" fillId="0" borderId="30" xfId="0" applyNumberFormat="1" applyFont="1" applyBorder="1" applyAlignment="1">
      <alignment vertical="center" wrapText="1"/>
    </xf>
    <xf numFmtId="3" fontId="18" fillId="0" borderId="55" xfId="0" applyNumberFormat="1" applyFont="1" applyBorder="1" applyAlignment="1" applyProtection="1">
      <alignment vertical="center" wrapText="1"/>
      <protection locked="0"/>
    </xf>
    <xf numFmtId="0" fontId="21" fillId="0" borderId="45" xfId="0" applyFont="1" applyBorder="1" applyAlignment="1">
      <alignment horizontal="center" vertical="center" wrapText="1" shrinkToFit="1"/>
    </xf>
    <xf numFmtId="49" fontId="20" fillId="2" borderId="24" xfId="0" applyNumberFormat="1" applyFont="1" applyFill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 wrapText="1" shrinkToFit="1"/>
    </xf>
    <xf numFmtId="49" fontId="20" fillId="0" borderId="59" xfId="0" applyNumberFormat="1" applyFont="1" applyBorder="1" applyAlignment="1">
      <alignment horizontal="left" vertical="center" wrapText="1" shrinkToFit="1"/>
    </xf>
    <xf numFmtId="9" fontId="20" fillId="0" borderId="35" xfId="0" applyNumberFormat="1" applyFont="1" applyBorder="1" applyAlignment="1">
      <alignment horizontal="center" vertical="center" wrapText="1" shrinkToFit="1"/>
    </xf>
    <xf numFmtId="0" fontId="20" fillId="0" borderId="35" xfId="0" applyFont="1" applyBorder="1" applyAlignment="1">
      <alignment horizontal="center" vertical="center" wrapText="1" shrinkToFit="1"/>
    </xf>
    <xf numFmtId="0" fontId="20" fillId="0" borderId="45" xfId="0" applyFont="1" applyBorder="1" applyAlignment="1">
      <alignment vertical="center" wrapText="1" shrinkToFit="1"/>
    </xf>
    <xf numFmtId="0" fontId="18" fillId="4" borderId="78" xfId="0" applyFont="1" applyFill="1" applyBorder="1" applyAlignment="1" applyProtection="1">
      <alignment vertical="center" wrapText="1"/>
      <protection locked="0"/>
    </xf>
    <xf numFmtId="3" fontId="22" fillId="4" borderId="58" xfId="0" applyNumberFormat="1" applyFont="1" applyFill="1" applyBorder="1" applyAlignment="1" applyProtection="1">
      <alignment vertical="center" wrapText="1"/>
      <protection locked="0"/>
    </xf>
    <xf numFmtId="3" fontId="22" fillId="4" borderId="72" xfId="0" applyNumberFormat="1" applyFont="1" applyFill="1" applyBorder="1" applyAlignment="1" applyProtection="1">
      <alignment vertical="center" wrapText="1"/>
      <protection locked="0"/>
    </xf>
    <xf numFmtId="3" fontId="22" fillId="4" borderId="62" xfId="0" applyNumberFormat="1" applyFont="1" applyFill="1" applyBorder="1" applyAlignment="1" applyProtection="1">
      <alignment vertical="center" wrapText="1"/>
      <protection locked="0"/>
    </xf>
    <xf numFmtId="3" fontId="18" fillId="4" borderId="75" xfId="0" applyNumberFormat="1" applyFont="1" applyFill="1" applyBorder="1" applyAlignment="1" applyProtection="1">
      <alignment vertical="center" wrapText="1"/>
      <protection locked="0"/>
    </xf>
    <xf numFmtId="0" fontId="49" fillId="0" borderId="30" xfId="0" applyFont="1" applyBorder="1" applyAlignment="1">
      <alignment horizontal="left" vertical="center" wrapText="1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0" fontId="22" fillId="0" borderId="68" xfId="0" applyFont="1" applyBorder="1" applyAlignment="1" applyProtection="1">
      <alignment vertical="center" wrapText="1"/>
      <protection locked="0"/>
    </xf>
    <xf numFmtId="0" fontId="0" fillId="0" borderId="69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3" fontId="22" fillId="0" borderId="38" xfId="0" applyNumberFormat="1" applyFont="1" applyBorder="1" applyAlignment="1" applyProtection="1">
      <alignment vertical="center" wrapText="1"/>
      <protection locked="0"/>
    </xf>
    <xf numFmtId="3" fontId="22" fillId="0" borderId="79" xfId="0" applyNumberFormat="1" applyFont="1" applyBorder="1" applyAlignment="1" applyProtection="1">
      <alignment vertical="center" wrapText="1"/>
      <protection locked="0"/>
    </xf>
    <xf numFmtId="3" fontId="22" fillId="0" borderId="60" xfId="0" applyNumberFormat="1" applyFont="1" applyBorder="1" applyAlignment="1" applyProtection="1">
      <alignment vertical="center" wrapText="1"/>
      <protection locked="0"/>
    </xf>
    <xf numFmtId="3" fontId="22" fillId="0" borderId="32" xfId="0" applyNumberFormat="1" applyFont="1" applyBorder="1" applyAlignment="1" applyProtection="1">
      <alignment vertical="center" wrapText="1"/>
      <protection locked="0"/>
    </xf>
    <xf numFmtId="3" fontId="22" fillId="0" borderId="25" xfId="0" applyNumberFormat="1" applyFont="1" applyBorder="1" applyAlignment="1" applyProtection="1">
      <alignment vertical="center" wrapText="1"/>
      <protection locked="0"/>
    </xf>
    <xf numFmtId="3" fontId="22" fillId="0" borderId="40" xfId="0" applyNumberFormat="1" applyFont="1" applyBorder="1" applyAlignment="1" applyProtection="1">
      <alignment vertical="center" wrapText="1"/>
      <protection locked="0"/>
    </xf>
    <xf numFmtId="3" fontId="26" fillId="0" borderId="0" xfId="0" applyNumberFormat="1" applyFont="1"/>
    <xf numFmtId="49" fontId="24" fillId="0" borderId="44" xfId="0" applyNumberFormat="1" applyFont="1" applyBorder="1" applyAlignment="1" applyProtection="1">
      <alignment vertical="center" wrapText="1"/>
      <protection locked="0"/>
    </xf>
    <xf numFmtId="3" fontId="25" fillId="0" borderId="9" xfId="1" applyNumberFormat="1" applyFont="1" applyBorder="1">
      <protection locked="0"/>
    </xf>
    <xf numFmtId="3" fontId="20" fillId="0" borderId="43" xfId="1" applyNumberFormat="1" applyFont="1" applyBorder="1">
      <protection locked="0"/>
    </xf>
    <xf numFmtId="3" fontId="24" fillId="0" borderId="12" xfId="0" applyNumberFormat="1" applyFont="1" applyBorder="1" applyAlignment="1" applyProtection="1">
      <alignment wrapText="1"/>
      <protection locked="0"/>
    </xf>
    <xf numFmtId="3" fontId="18" fillId="0" borderId="12" xfId="0" applyNumberFormat="1" applyFont="1" applyBorder="1" applyAlignment="1" applyProtection="1">
      <alignment wrapText="1"/>
      <protection locked="0"/>
    </xf>
    <xf numFmtId="3" fontId="17" fillId="9" borderId="53" xfId="2" applyNumberFormat="1" applyFont="1" applyFill="1" applyBorder="1" applyAlignment="1" applyProtection="1">
      <alignment horizontal="center"/>
    </xf>
    <xf numFmtId="3" fontId="15" fillId="6" borderId="2" xfId="0" applyNumberFormat="1" applyFont="1" applyFill="1" applyBorder="1" applyAlignment="1">
      <alignment vertical="center"/>
    </xf>
    <xf numFmtId="168" fontId="7" fillId="0" borderId="0" xfId="2" applyNumberFormat="1" applyFont="1" applyBorder="1" applyProtection="1"/>
    <xf numFmtId="0" fontId="17" fillId="9" borderId="47" xfId="0" applyFont="1" applyFill="1" applyBorder="1" applyAlignment="1">
      <alignment horizontal="left"/>
    </xf>
    <xf numFmtId="3" fontId="1" fillId="4" borderId="4" xfId="0" applyNumberFormat="1" applyFont="1" applyFill="1" applyBorder="1"/>
    <xf numFmtId="165" fontId="2" fillId="0" borderId="39" xfId="0" applyNumberFormat="1" applyFont="1" applyBorder="1"/>
    <xf numFmtId="165" fontId="2" fillId="0" borderId="2" xfId="0" applyNumberFormat="1" applyFont="1" applyBorder="1"/>
    <xf numFmtId="3" fontId="9" fillId="0" borderId="45" xfId="0" applyNumberFormat="1" applyFont="1" applyBorder="1" applyAlignment="1">
      <alignment horizontal="right" vertical="center" wrapText="1" shrinkToFit="1"/>
    </xf>
    <xf numFmtId="3" fontId="9" fillId="0" borderId="30" xfId="0" applyNumberFormat="1" applyFont="1" applyBorder="1" applyAlignment="1">
      <alignment horizontal="right" vertical="center" wrapText="1" shrinkToFit="1"/>
    </xf>
    <xf numFmtId="3" fontId="9" fillId="0" borderId="35" xfId="0" applyNumberFormat="1" applyFont="1" applyBorder="1" applyAlignment="1">
      <alignment horizontal="right" vertical="center" wrapText="1" shrinkToFit="1"/>
    </xf>
    <xf numFmtId="3" fontId="10" fillId="5" borderId="49" xfId="0" applyNumberFormat="1" applyFont="1" applyFill="1" applyBorder="1" applyAlignment="1">
      <alignment horizontal="right" vertical="center" wrapText="1" shrinkToFit="1"/>
    </xf>
    <xf numFmtId="3" fontId="12" fillId="5" borderId="49" xfId="0" applyNumberFormat="1" applyFont="1" applyFill="1" applyBorder="1" applyAlignment="1">
      <alignment horizontal="right" vertical="center" wrapText="1" shrinkToFit="1"/>
    </xf>
    <xf numFmtId="3" fontId="17" fillId="6" borderId="74" xfId="0" applyNumberFormat="1" applyFont="1" applyFill="1" applyBorder="1" applyAlignment="1">
      <alignment horizontal="right" vertical="center"/>
    </xf>
    <xf numFmtId="3" fontId="15" fillId="6" borderId="57" xfId="0" applyNumberFormat="1" applyFont="1" applyFill="1" applyBorder="1" applyAlignment="1">
      <alignment horizontal="center" vertical="center"/>
    </xf>
    <xf numFmtId="0" fontId="22" fillId="0" borderId="30" xfId="0" applyFont="1" applyBorder="1" applyAlignment="1" applyProtection="1">
      <alignment horizontal="right" vertical="center" wrapText="1"/>
      <protection locked="0"/>
    </xf>
    <xf numFmtId="3" fontId="20" fillId="0" borderId="45" xfId="0" applyNumberFormat="1" applyFont="1" applyBorder="1" applyAlignment="1">
      <alignment horizontal="right" vertical="center" wrapText="1" shrinkToFit="1"/>
    </xf>
    <xf numFmtId="3" fontId="24" fillId="0" borderId="30" xfId="0" applyNumberFormat="1" applyFont="1" applyBorder="1" applyAlignment="1" applyProtection="1">
      <alignment horizontal="right" vertical="center" wrapText="1"/>
      <protection locked="0"/>
    </xf>
    <xf numFmtId="3" fontId="22" fillId="0" borderId="64" xfId="0" applyNumberFormat="1" applyFont="1" applyBorder="1" applyAlignment="1" applyProtection="1">
      <alignment horizontal="right" vertical="center" wrapText="1"/>
      <protection locked="0"/>
    </xf>
    <xf numFmtId="3" fontId="24" fillId="0" borderId="64" xfId="0" applyNumberFormat="1" applyFont="1" applyBorder="1" applyAlignment="1" applyProtection="1">
      <alignment horizontal="right" vertical="center" wrapText="1"/>
      <protection locked="0"/>
    </xf>
    <xf numFmtId="3" fontId="22" fillId="0" borderId="35" xfId="0" applyNumberFormat="1" applyFont="1" applyBorder="1" applyAlignment="1" applyProtection="1">
      <alignment horizontal="right" vertical="center" wrapText="1"/>
      <protection locked="0"/>
    </xf>
    <xf numFmtId="3" fontId="22" fillId="0" borderId="26" xfId="0" applyNumberFormat="1" applyFont="1" applyBorder="1" applyAlignment="1" applyProtection="1">
      <alignment horizontal="center" vertical="center" wrapText="1"/>
      <protection locked="0"/>
    </xf>
    <xf numFmtId="3" fontId="24" fillId="0" borderId="30" xfId="0" applyNumberFormat="1" applyFont="1" applyBorder="1" applyAlignment="1" applyProtection="1">
      <alignment horizontal="right" wrapText="1"/>
      <protection locked="0"/>
    </xf>
    <xf numFmtId="3" fontId="22" fillId="0" borderId="30" xfId="0" applyNumberFormat="1" applyFont="1" applyBorder="1" applyAlignment="1" applyProtection="1">
      <alignment horizontal="right" wrapText="1"/>
      <protection locked="0"/>
    </xf>
    <xf numFmtId="3" fontId="22" fillId="0" borderId="35" xfId="0" applyNumberFormat="1" applyFont="1" applyBorder="1" applyAlignment="1" applyProtection="1">
      <alignment horizontal="right" wrapText="1"/>
      <protection locked="0"/>
    </xf>
    <xf numFmtId="3" fontId="22" fillId="0" borderId="66" xfId="0" applyNumberFormat="1" applyFont="1" applyBorder="1" applyAlignment="1" applyProtection="1">
      <alignment horizontal="right" wrapText="1"/>
      <protection locked="0"/>
    </xf>
    <xf numFmtId="3" fontId="18" fillId="0" borderId="49" xfId="0" applyNumberFormat="1" applyFont="1" applyBorder="1" applyAlignment="1" applyProtection="1">
      <alignment horizontal="right" vertical="center" wrapText="1"/>
      <protection locked="0"/>
    </xf>
    <xf numFmtId="3" fontId="10" fillId="10" borderId="49" xfId="0" applyNumberFormat="1" applyFont="1" applyFill="1" applyBorder="1" applyAlignment="1">
      <alignment horizontal="right" vertical="center" wrapText="1" shrinkToFit="1"/>
    </xf>
    <xf numFmtId="3" fontId="32" fillId="0" borderId="30" xfId="0" applyNumberFormat="1" applyFont="1" applyBorder="1" applyAlignment="1">
      <alignment horizontal="right" vertical="center" wrapText="1" shrinkToFit="1"/>
    </xf>
    <xf numFmtId="3" fontId="10" fillId="10" borderId="3" xfId="0" applyNumberFormat="1" applyFont="1" applyFill="1" applyBorder="1" applyAlignment="1">
      <alignment horizontal="right" vertical="center" wrapText="1" shrinkToFit="1"/>
    </xf>
    <xf numFmtId="3" fontId="11" fillId="0" borderId="72" xfId="0" applyNumberFormat="1" applyFont="1" applyBorder="1" applyAlignment="1">
      <alignment horizontal="right" vertical="center" wrapText="1" shrinkToFit="1"/>
    </xf>
    <xf numFmtId="3" fontId="10" fillId="10" borderId="49" xfId="0" applyNumberFormat="1" applyFont="1" applyFill="1" applyBorder="1" applyAlignment="1">
      <alignment horizontal="right"/>
    </xf>
    <xf numFmtId="3" fontId="10" fillId="10" borderId="67" xfId="0" applyNumberFormat="1" applyFont="1" applyFill="1" applyBorder="1" applyAlignment="1">
      <alignment horizontal="right" vertical="center" wrapText="1" shrinkToFit="1"/>
    </xf>
    <xf numFmtId="3" fontId="22" fillId="0" borderId="67" xfId="0" applyNumberFormat="1" applyFont="1" applyBorder="1" applyAlignment="1" applyProtection="1">
      <alignment vertical="center" wrapText="1"/>
      <protection locked="0"/>
    </xf>
    <xf numFmtId="3" fontId="18" fillId="11" borderId="4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52" xfId="0" applyFont="1" applyBorder="1" applyAlignment="1" applyProtection="1">
      <alignment vertical="center" wrapText="1"/>
      <protection locked="0"/>
    </xf>
    <xf numFmtId="3" fontId="18" fillId="0" borderId="70" xfId="0" applyNumberFormat="1" applyFont="1" applyBorder="1" applyAlignment="1" applyProtection="1">
      <alignment vertical="center" wrapText="1"/>
      <protection locked="0"/>
    </xf>
    <xf numFmtId="3" fontId="38" fillId="0" borderId="28" xfId="2" applyNumberFormat="1" applyFont="1" applyBorder="1" applyProtection="1"/>
    <xf numFmtId="49" fontId="22" fillId="0" borderId="68" xfId="0" applyNumberFormat="1" applyFont="1" applyBorder="1" applyAlignment="1" applyProtection="1">
      <alignment horizontal="left" vertical="center" wrapText="1"/>
      <protection locked="0"/>
    </xf>
    <xf numFmtId="3" fontId="21" fillId="0" borderId="28" xfId="0" applyNumberFormat="1" applyFont="1" applyBorder="1" applyAlignment="1">
      <alignment horizontal="right" vertical="center" wrapText="1" shrinkToFit="1"/>
    </xf>
    <xf numFmtId="0" fontId="50" fillId="0" borderId="0" xfId="0" applyFont="1"/>
    <xf numFmtId="0" fontId="22" fillId="0" borderId="79" xfId="0" applyFont="1" applyBorder="1" applyAlignment="1" applyProtection="1">
      <alignment vertical="center" wrapText="1"/>
      <protection locked="0"/>
    </xf>
    <xf numFmtId="3" fontId="20" fillId="2" borderId="41" xfId="0" applyNumberFormat="1" applyFont="1" applyFill="1" applyBorder="1" applyAlignment="1">
      <alignment horizontal="center" vertical="center" wrapText="1" shrinkToFit="1"/>
    </xf>
    <xf numFmtId="3" fontId="18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>
      <alignment horizontal="center" vertical="center" wrapText="1" shrinkToFit="1"/>
    </xf>
    <xf numFmtId="0" fontId="20" fillId="0" borderId="61" xfId="0" applyFont="1" applyBorder="1" applyAlignment="1">
      <alignment horizontal="center" vertical="center" wrapText="1" shrinkToFit="1"/>
    </xf>
    <xf numFmtId="3" fontId="20" fillId="0" borderId="40" xfId="0" applyNumberFormat="1" applyFont="1" applyBorder="1" applyAlignment="1">
      <alignment horizontal="right" vertical="center" wrapText="1" shrinkToFit="1"/>
    </xf>
    <xf numFmtId="3" fontId="20" fillId="0" borderId="32" xfId="0" applyNumberFormat="1" applyFont="1" applyBorder="1" applyAlignment="1">
      <alignment horizontal="right" vertical="center" wrapText="1" shrinkToFit="1"/>
    </xf>
    <xf numFmtId="0" fontId="20" fillId="0" borderId="25" xfId="0" applyFont="1" applyBorder="1" applyAlignment="1">
      <alignment horizontal="left" vertical="center" wrapText="1" shrinkToFit="1"/>
    </xf>
    <xf numFmtId="0" fontId="20" fillId="0" borderId="60" xfId="0" applyFont="1" applyBorder="1" applyAlignment="1">
      <alignment horizontal="left" vertical="center" wrapText="1" shrinkToFit="1"/>
    </xf>
    <xf numFmtId="49" fontId="20" fillId="0" borderId="24" xfId="0" applyNumberFormat="1" applyFont="1" applyBorder="1" applyAlignment="1">
      <alignment horizontal="left" vertical="center" wrapText="1" shrinkToFit="1"/>
    </xf>
    <xf numFmtId="3" fontId="22" fillId="0" borderId="50" xfId="0" applyNumberFormat="1" applyFont="1" applyBorder="1" applyAlignment="1" applyProtection="1">
      <alignment horizontal="center" vertical="center" wrapText="1"/>
      <protection locked="0"/>
    </xf>
    <xf numFmtId="3" fontId="18" fillId="11" borderId="53" xfId="0" applyNumberFormat="1" applyFont="1" applyFill="1" applyBorder="1" applyAlignment="1" applyProtection="1">
      <alignment horizontal="center" vertical="center" wrapText="1"/>
      <protection locked="0"/>
    </xf>
    <xf numFmtId="3" fontId="50" fillId="0" borderId="31" xfId="0" applyNumberFormat="1" applyFont="1" applyBorder="1" applyAlignment="1" applyProtection="1">
      <alignment vertical="center" wrapText="1"/>
      <protection locked="0"/>
    </xf>
    <xf numFmtId="3" fontId="50" fillId="0" borderId="0" xfId="0" applyNumberFormat="1" applyFont="1" applyAlignment="1" applyProtection="1">
      <alignment vertical="center" wrapText="1"/>
      <protection locked="0"/>
    </xf>
    <xf numFmtId="0" fontId="51" fillId="0" borderId="0" xfId="0" applyFont="1"/>
    <xf numFmtId="0" fontId="8" fillId="6" borderId="39" xfId="0" applyFont="1" applyFill="1" applyBorder="1" applyAlignment="1">
      <alignment horizontal="center" vertical="center" wrapText="1" shrinkToFit="1"/>
    </xf>
    <xf numFmtId="0" fontId="8" fillId="6" borderId="12" xfId="0" applyFont="1" applyFill="1" applyBorder="1" applyAlignment="1">
      <alignment horizontal="center" vertical="center" wrapText="1" shrinkToFit="1"/>
    </xf>
    <xf numFmtId="0" fontId="21" fillId="6" borderId="55" xfId="0" applyFont="1" applyFill="1" applyBorder="1" applyAlignment="1">
      <alignment horizontal="center" vertical="center" wrapText="1" shrinkToFit="1"/>
    </xf>
    <xf numFmtId="0" fontId="21" fillId="6" borderId="26" xfId="0" applyFont="1" applyFill="1" applyBorder="1" applyAlignment="1">
      <alignment horizontal="center" vertical="center" wrapText="1" shrinkToFit="1"/>
    </xf>
    <xf numFmtId="3" fontId="22" fillId="0" borderId="46" xfId="0" applyNumberFormat="1" applyFont="1" applyBorder="1" applyAlignment="1" applyProtection="1">
      <alignment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52" fillId="0" borderId="0" xfId="0" applyFont="1"/>
    <xf numFmtId="3" fontId="22" fillId="0" borderId="80" xfId="0" applyNumberFormat="1" applyFont="1" applyBorder="1" applyAlignment="1" applyProtection="1">
      <alignment vertical="center" wrapText="1"/>
      <protection locked="0"/>
    </xf>
    <xf numFmtId="3" fontId="7" fillId="17" borderId="0" xfId="0" applyNumberFormat="1" applyFont="1" applyFill="1"/>
    <xf numFmtId="49" fontId="0" fillId="0" borderId="59" xfId="0" applyNumberFormat="1" applyBorder="1" applyAlignment="1">
      <alignment vertical="center" wrapText="1"/>
    </xf>
    <xf numFmtId="10" fontId="20" fillId="0" borderId="60" xfId="0" applyNumberFormat="1" applyFont="1" applyBorder="1" applyAlignment="1">
      <alignment horizontal="center" vertical="center" wrapText="1" shrinkToFit="1"/>
    </xf>
    <xf numFmtId="173" fontId="7" fillId="17" borderId="0" xfId="0" applyNumberFormat="1" applyFont="1" applyFill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0" fillId="0" borderId="24" xfId="0" applyBorder="1"/>
    <xf numFmtId="3" fontId="0" fillId="0" borderId="26" xfId="0" applyNumberFormat="1" applyBorder="1"/>
    <xf numFmtId="0" fontId="0" fillId="0" borderId="29" xfId="0" applyBorder="1"/>
    <xf numFmtId="3" fontId="0" fillId="0" borderId="14" xfId="0" applyNumberFormat="1" applyBorder="1"/>
    <xf numFmtId="0" fontId="17" fillId="21" borderId="47" xfId="0" applyFont="1" applyFill="1" applyBorder="1"/>
    <xf numFmtId="3" fontId="17" fillId="21" borderId="8" xfId="0" applyNumberFormat="1" applyFont="1" applyFill="1" applyBorder="1"/>
    <xf numFmtId="49" fontId="54" fillId="0" borderId="44" xfId="0" applyNumberFormat="1" applyFont="1" applyBorder="1"/>
    <xf numFmtId="49" fontId="55" fillId="0" borderId="45" xfId="0" applyNumberFormat="1" applyFont="1" applyBorder="1" applyAlignment="1">
      <alignment wrapText="1"/>
    </xf>
    <xf numFmtId="49" fontId="54" fillId="0" borderId="29" xfId="0" applyNumberFormat="1" applyFont="1" applyBorder="1"/>
    <xf numFmtId="49" fontId="55" fillId="0" borderId="30" xfId="0" applyNumberFormat="1" applyFont="1" applyBorder="1" applyAlignment="1">
      <alignment wrapText="1"/>
    </xf>
    <xf numFmtId="49" fontId="54" fillId="0" borderId="34" xfId="0" applyNumberFormat="1" applyFont="1" applyBorder="1"/>
    <xf numFmtId="3" fontId="53" fillId="16" borderId="2" xfId="0" applyNumberFormat="1" applyFont="1" applyFill="1" applyBorder="1"/>
    <xf numFmtId="0" fontId="0" fillId="0" borderId="59" xfId="0" applyBorder="1"/>
    <xf numFmtId="3" fontId="0" fillId="0" borderId="33" xfId="0" applyNumberFormat="1" applyBorder="1"/>
    <xf numFmtId="9" fontId="22" fillId="0" borderId="37" xfId="0" applyNumberFormat="1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vertical="center" wrapText="1"/>
      <protection locked="0"/>
    </xf>
    <xf numFmtId="168" fontId="16" fillId="0" borderId="0" xfId="2" applyNumberFormat="1" applyBorder="1" applyProtection="1"/>
    <xf numFmtId="49" fontId="11" fillId="0" borderId="59" xfId="0" applyNumberFormat="1" applyFont="1" applyBorder="1" applyAlignment="1">
      <alignment horizontal="left" vertical="center" wrapText="1" shrinkToFit="1"/>
    </xf>
    <xf numFmtId="49" fontId="11" fillId="0" borderId="60" xfId="0" applyNumberFormat="1" applyFont="1" applyBorder="1" applyAlignment="1">
      <alignment horizontal="left" vertical="center" wrapText="1" shrinkToFit="1"/>
    </xf>
    <xf numFmtId="3" fontId="11" fillId="0" borderId="60" xfId="0" applyNumberFormat="1" applyFont="1" applyBorder="1" applyAlignment="1">
      <alignment horizontal="right" vertical="center" wrapText="1" shrinkToFit="1"/>
    </xf>
    <xf numFmtId="3" fontId="11" fillId="0" borderId="60" xfId="0" applyNumberFormat="1" applyFont="1" applyBorder="1" applyAlignment="1">
      <alignment vertical="center" wrapText="1" shrinkToFit="1"/>
    </xf>
    <xf numFmtId="3" fontId="11" fillId="0" borderId="60" xfId="0" applyNumberFormat="1" applyFont="1" applyBorder="1" applyAlignment="1">
      <alignment horizontal="center" vertical="center" wrapText="1" shrinkToFit="1"/>
    </xf>
    <xf numFmtId="3" fontId="11" fillId="0" borderId="32" xfId="0" applyNumberFormat="1" applyFont="1" applyBorder="1" applyAlignment="1">
      <alignment vertical="center" wrapText="1" shrinkToFit="1"/>
    </xf>
    <xf numFmtId="49" fontId="11" fillId="0" borderId="44" xfId="0" applyNumberFormat="1" applyFont="1" applyBorder="1" applyAlignment="1">
      <alignment horizontal="left" vertical="center" wrapText="1" shrinkToFit="1"/>
    </xf>
    <xf numFmtId="3" fontId="11" fillId="0" borderId="45" xfId="0" applyNumberFormat="1" applyFont="1" applyBorder="1" applyAlignment="1">
      <alignment horizontal="right" vertical="center" wrapText="1" shrinkToFit="1"/>
    </xf>
    <xf numFmtId="3" fontId="11" fillId="0" borderId="9" xfId="0" applyNumberFormat="1" applyFont="1" applyBorder="1" applyAlignment="1">
      <alignment vertical="center" wrapText="1" shrinkToFit="1"/>
    </xf>
    <xf numFmtId="165" fontId="40" fillId="0" borderId="30" xfId="1" applyNumberFormat="1" applyBorder="1">
      <protection locked="0"/>
    </xf>
    <xf numFmtId="0" fontId="17" fillId="13" borderId="24" xfId="0" applyFont="1" applyFill="1" applyBorder="1" applyAlignment="1">
      <alignment horizontal="center" vertical="center" readingOrder="1"/>
    </xf>
    <xf numFmtId="0" fontId="17" fillId="13" borderId="26" xfId="0" applyFont="1" applyFill="1" applyBorder="1" applyAlignment="1">
      <alignment horizontal="center" vertical="center" readingOrder="1"/>
    </xf>
    <xf numFmtId="165" fontId="40" fillId="0" borderId="35" xfId="1" applyNumberFormat="1" applyBorder="1">
      <protection locked="0"/>
    </xf>
    <xf numFmtId="165" fontId="17" fillId="14" borderId="47" xfId="1" applyNumberFormat="1" applyFont="1" applyFill="1" applyBorder="1" applyAlignment="1">
      <alignment horizontal="right" readingOrder="1"/>
      <protection locked="0"/>
    </xf>
    <xf numFmtId="3" fontId="22" fillId="22" borderId="30" xfId="0" applyNumberFormat="1" applyFont="1" applyFill="1" applyBorder="1" applyAlignment="1" applyProtection="1">
      <alignment vertical="center" wrapText="1"/>
      <protection locked="0"/>
    </xf>
    <xf numFmtId="3" fontId="22" fillId="22" borderId="45" xfId="0" applyNumberFormat="1" applyFont="1" applyFill="1" applyBorder="1" applyAlignment="1" applyProtection="1">
      <alignment horizontal="center" vertical="center" wrapText="1"/>
      <protection locked="0"/>
    </xf>
    <xf numFmtId="3" fontId="22" fillId="22" borderId="12" xfId="0" applyNumberFormat="1" applyFont="1" applyFill="1" applyBorder="1" applyAlignment="1" applyProtection="1">
      <alignment vertical="center" wrapText="1"/>
      <protection locked="0"/>
    </xf>
    <xf numFmtId="3" fontId="20" fillId="0" borderId="60" xfId="0" applyNumberFormat="1" applyFont="1" applyBorder="1" applyAlignment="1">
      <alignment horizontal="center" vertical="center" wrapText="1" shrinkToFit="1"/>
    </xf>
    <xf numFmtId="49" fontId="20" fillId="0" borderId="29" xfId="0" applyNumberFormat="1" applyFont="1" applyBorder="1" applyAlignment="1">
      <alignment horizontal="left" vertical="center" wrapText="1" shrinkToFit="1"/>
    </xf>
    <xf numFmtId="0" fontId="20" fillId="0" borderId="30" xfId="0" applyFont="1" applyBorder="1" applyAlignment="1">
      <alignment horizontal="left" vertical="center" wrapText="1" shrinkToFit="1"/>
    </xf>
    <xf numFmtId="0" fontId="20" fillId="0" borderId="30" xfId="0" applyFont="1" applyBorder="1" applyAlignment="1">
      <alignment horizontal="center" vertical="center" wrapText="1" shrinkToFit="1"/>
    </xf>
    <xf numFmtId="3" fontId="20" fillId="0" borderId="30" xfId="0" applyNumberFormat="1" applyFont="1" applyBorder="1" applyAlignment="1">
      <alignment horizontal="center" vertical="center" wrapText="1" shrinkToFit="1"/>
    </xf>
    <xf numFmtId="9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3" fontId="22" fillId="0" borderId="0" xfId="0" applyNumberFormat="1" applyFont="1" applyAlignment="1" applyProtection="1">
      <alignment horizontal="center" vertical="center" wrapText="1"/>
      <protection locked="0"/>
    </xf>
    <xf numFmtId="9" fontId="57" fillId="0" borderId="0" xfId="0" applyNumberFormat="1" applyFont="1"/>
    <xf numFmtId="9" fontId="58" fillId="0" borderId="0" xfId="0" applyNumberFormat="1" applyFont="1"/>
    <xf numFmtId="9" fontId="58" fillId="2" borderId="0" xfId="0" applyNumberFormat="1" applyFont="1" applyFill="1"/>
    <xf numFmtId="9" fontId="59" fillId="0" borderId="0" xfId="0" applyNumberFormat="1" applyFont="1"/>
    <xf numFmtId="9" fontId="60" fillId="0" borderId="0" xfId="0" applyNumberFormat="1" applyFont="1"/>
    <xf numFmtId="9" fontId="61" fillId="0" borderId="0" xfId="0" applyNumberFormat="1" applyFont="1" applyAlignment="1" applyProtection="1">
      <alignment vertical="center" wrapText="1"/>
      <protection locked="0"/>
    </xf>
    <xf numFmtId="9" fontId="62" fillId="0" borderId="0" xfId="0" applyNumberFormat="1" applyFont="1"/>
    <xf numFmtId="9" fontId="57" fillId="2" borderId="0" xfId="0" applyNumberFormat="1" applyFont="1" applyFill="1"/>
    <xf numFmtId="9" fontId="57" fillId="17" borderId="0" xfId="0" applyNumberFormat="1" applyFont="1" applyFill="1"/>
    <xf numFmtId="9" fontId="63" fillId="0" borderId="0" xfId="0" applyNumberFormat="1" applyFont="1" applyAlignment="1" applyProtection="1">
      <alignment vertical="center" wrapText="1"/>
      <protection locked="0"/>
    </xf>
    <xf numFmtId="9" fontId="62" fillId="18" borderId="0" xfId="0" applyNumberFormat="1" applyFont="1" applyFill="1"/>
    <xf numFmtId="9" fontId="59" fillId="2" borderId="0" xfId="0" applyNumberFormat="1" applyFont="1" applyFill="1"/>
    <xf numFmtId="9" fontId="62" fillId="16" borderId="0" xfId="0" applyNumberFormat="1" applyFont="1" applyFill="1"/>
    <xf numFmtId="9" fontId="64" fillId="0" borderId="0" xfId="0" applyNumberFormat="1" applyFont="1"/>
    <xf numFmtId="9" fontId="65" fillId="0" borderId="0" xfId="0" applyNumberFormat="1" applyFont="1"/>
    <xf numFmtId="9" fontId="66" fillId="0" borderId="0" xfId="0" applyNumberFormat="1" applyFont="1"/>
    <xf numFmtId="9" fontId="67" fillId="0" borderId="0" xfId="0" applyNumberFormat="1" applyFont="1"/>
    <xf numFmtId="9" fontId="0" fillId="0" borderId="0" xfId="0" applyNumberFormat="1"/>
    <xf numFmtId="9" fontId="0" fillId="2" borderId="0" xfId="0" applyNumberFormat="1" applyFill="1"/>
    <xf numFmtId="9" fontId="0" fillId="17" borderId="0" xfId="0" applyNumberFormat="1" applyFill="1"/>
    <xf numFmtId="9" fontId="22" fillId="2" borderId="0" xfId="0" applyNumberFormat="1" applyFont="1" applyFill="1" applyAlignment="1" applyProtection="1">
      <alignment horizontal="center" vertical="center" wrapText="1"/>
      <protection locked="0"/>
    </xf>
    <xf numFmtId="9" fontId="50" fillId="0" borderId="0" xfId="0" applyNumberFormat="1" applyFont="1" applyAlignment="1" applyProtection="1">
      <alignment vertical="center" wrapText="1"/>
      <protection locked="0"/>
    </xf>
    <xf numFmtId="9" fontId="7" fillId="16" borderId="0" xfId="0" applyNumberFormat="1" applyFont="1" applyFill="1"/>
    <xf numFmtId="9" fontId="39" fillId="0" borderId="0" xfId="0" applyNumberFormat="1" applyFont="1"/>
    <xf numFmtId="9" fontId="26" fillId="0" borderId="0" xfId="0" applyNumberFormat="1" applyFont="1"/>
    <xf numFmtId="0" fontId="22" fillId="0" borderId="0" xfId="0" applyFont="1" applyAlignment="1" applyProtection="1">
      <alignment horizontal="center" vertical="center" wrapText="1"/>
      <protection locked="0"/>
    </xf>
    <xf numFmtId="172" fontId="22" fillId="0" borderId="30" xfId="0" applyNumberFormat="1" applyFont="1" applyBorder="1" applyAlignment="1" applyProtection="1">
      <alignment vertical="center" wrapText="1"/>
      <protection locked="0"/>
    </xf>
    <xf numFmtId="3" fontId="68" fillId="0" borderId="0" xfId="0" applyNumberFormat="1" applyFont="1" applyAlignment="1">
      <alignment horizontal="center"/>
    </xf>
    <xf numFmtId="0" fontId="14" fillId="0" borderId="0" xfId="0" applyFont="1" applyAlignment="1">
      <alignment wrapText="1"/>
    </xf>
    <xf numFmtId="3" fontId="14" fillId="0" borderId="0" xfId="0" applyNumberFormat="1" applyFont="1" applyAlignment="1">
      <alignment horizontal="right"/>
    </xf>
    <xf numFmtId="0" fontId="69" fillId="0" borderId="0" xfId="0" applyFont="1" applyAlignment="1">
      <alignment wrapText="1"/>
    </xf>
    <xf numFmtId="3" fontId="69" fillId="0" borderId="0" xfId="0" applyNumberFormat="1" applyFont="1" applyAlignment="1">
      <alignment horizontal="right"/>
    </xf>
    <xf numFmtId="0" fontId="69" fillId="0" borderId="0" xfId="0" applyFont="1"/>
    <xf numFmtId="174" fontId="70" fillId="0" borderId="0" xfId="0" applyNumberFormat="1" applyFont="1"/>
    <xf numFmtId="9" fontId="71" fillId="18" borderId="0" xfId="0" applyNumberFormat="1" applyFont="1" applyFill="1"/>
    <xf numFmtId="9" fontId="70" fillId="0" borderId="0" xfId="0" applyNumberFormat="1" applyFont="1"/>
    <xf numFmtId="9" fontId="22" fillId="0" borderId="64" xfId="0" applyNumberFormat="1" applyFont="1" applyBorder="1" applyAlignment="1" applyProtection="1">
      <alignment horizontal="center" vertical="center" wrapText="1"/>
      <protection locked="0"/>
    </xf>
    <xf numFmtId="3" fontId="22" fillId="2" borderId="0" xfId="0" applyNumberFormat="1" applyFont="1" applyFill="1" applyAlignment="1" applyProtection="1">
      <alignment vertical="center" wrapText="1"/>
      <protection locked="0"/>
    </xf>
    <xf numFmtId="49" fontId="22" fillId="23" borderId="44" xfId="0" applyNumberFormat="1" applyFont="1" applyFill="1" applyBorder="1" applyAlignment="1" applyProtection="1">
      <alignment vertical="center" wrapText="1"/>
      <protection locked="0"/>
    </xf>
    <xf numFmtId="0" fontId="22" fillId="23" borderId="45" xfId="0" applyFont="1" applyFill="1" applyBorder="1" applyAlignment="1" applyProtection="1">
      <alignment vertical="center" wrapText="1"/>
      <protection locked="0"/>
    </xf>
    <xf numFmtId="3" fontId="22" fillId="23" borderId="45" xfId="0" applyNumberFormat="1" applyFont="1" applyFill="1" applyBorder="1" applyAlignment="1" applyProtection="1">
      <alignment vertical="center" wrapText="1"/>
      <protection locked="0"/>
    </xf>
    <xf numFmtId="9" fontId="22" fillId="23" borderId="45" xfId="0" applyNumberFormat="1" applyFont="1" applyFill="1" applyBorder="1" applyAlignment="1" applyProtection="1">
      <alignment horizontal="center" vertical="center" wrapText="1"/>
      <protection locked="0"/>
    </xf>
    <xf numFmtId="3" fontId="38" fillId="23" borderId="28" xfId="2" applyNumberFormat="1" applyFont="1" applyFill="1" applyBorder="1" applyProtection="1"/>
    <xf numFmtId="49" fontId="22" fillId="23" borderId="29" xfId="0" applyNumberFormat="1" applyFont="1" applyFill="1" applyBorder="1" applyAlignment="1" applyProtection="1">
      <alignment vertical="center" wrapText="1"/>
      <protection locked="0"/>
    </xf>
    <xf numFmtId="0" fontId="22" fillId="23" borderId="30" xfId="0" applyFont="1" applyFill="1" applyBorder="1" applyAlignment="1" applyProtection="1">
      <alignment vertical="center" wrapText="1"/>
      <protection locked="0"/>
    </xf>
    <xf numFmtId="3" fontId="22" fillId="23" borderId="30" xfId="0" applyNumberFormat="1" applyFont="1" applyFill="1" applyBorder="1" applyAlignment="1" applyProtection="1">
      <alignment vertical="center" wrapText="1"/>
      <protection locked="0"/>
    </xf>
    <xf numFmtId="3" fontId="38" fillId="23" borderId="14" xfId="2" applyNumberFormat="1" applyFont="1" applyFill="1" applyBorder="1" applyProtection="1"/>
    <xf numFmtId="49" fontId="25" fillId="0" borderId="0" xfId="0" applyNumberFormat="1" applyFont="1"/>
    <xf numFmtId="3" fontId="22" fillId="17" borderId="14" xfId="0" applyNumberFormat="1" applyFont="1" applyFill="1" applyBorder="1" applyAlignment="1" applyProtection="1">
      <alignment vertical="center" wrapText="1"/>
      <protection locked="0"/>
    </xf>
    <xf numFmtId="3" fontId="18" fillId="17" borderId="21" xfId="0" applyNumberFormat="1" applyFont="1" applyFill="1" applyBorder="1" applyAlignment="1" applyProtection="1">
      <alignment vertical="center" wrapText="1"/>
      <protection locked="0"/>
    </xf>
    <xf numFmtId="49" fontId="20" fillId="0" borderId="29" xfId="0" applyNumberFormat="1" applyFont="1" applyBorder="1" applyAlignment="1" applyProtection="1">
      <alignment vertical="center" wrapText="1"/>
      <protection locked="0"/>
    </xf>
    <xf numFmtId="9" fontId="20" fillId="0" borderId="35" xfId="0" applyNumberFormat="1" applyFont="1" applyBorder="1" applyAlignment="1" applyProtection="1">
      <alignment horizontal="center" vertical="center" wrapText="1"/>
      <protection locked="0"/>
    </xf>
    <xf numFmtId="3" fontId="20" fillId="0" borderId="21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horizontal="right" vertical="center" wrapText="1"/>
      <protection locked="0"/>
    </xf>
    <xf numFmtId="0" fontId="20" fillId="0" borderId="41" xfId="0" applyFont="1" applyBorder="1" applyAlignment="1">
      <alignment horizontal="center" vertical="center" wrapText="1" shrinkToFit="1"/>
    </xf>
    <xf numFmtId="3" fontId="20" fillId="0" borderId="12" xfId="0" applyNumberFormat="1" applyFont="1" applyBorder="1" applyAlignment="1">
      <alignment horizontal="right" vertical="center" wrapText="1" shrinkToFit="1"/>
    </xf>
    <xf numFmtId="3" fontId="8" fillId="0" borderId="12" xfId="0" applyNumberFormat="1" applyFont="1" applyBorder="1" applyAlignment="1">
      <alignment vertical="center" wrapText="1" shrinkToFit="1"/>
    </xf>
    <xf numFmtId="3" fontId="8" fillId="0" borderId="9" xfId="0" applyNumberFormat="1" applyFont="1" applyBorder="1" applyAlignment="1">
      <alignment vertical="center" wrapText="1" shrinkToFit="1"/>
    </xf>
    <xf numFmtId="3" fontId="8" fillId="0" borderId="17" xfId="0" applyNumberFormat="1" applyFont="1" applyBorder="1" applyAlignment="1">
      <alignment vertical="center" wrapText="1" shrinkToFit="1"/>
    </xf>
    <xf numFmtId="3" fontId="8" fillId="0" borderId="40" xfId="0" applyNumberFormat="1" applyFont="1" applyBorder="1" applyAlignment="1">
      <alignment vertical="center" wrapText="1" shrinkToFit="1"/>
    </xf>
    <xf numFmtId="3" fontId="11" fillId="0" borderId="11" xfId="0" applyNumberFormat="1" applyFont="1" applyBorder="1" applyAlignment="1">
      <alignment vertical="center" wrapText="1" shrinkToFit="1"/>
    </xf>
    <xf numFmtId="3" fontId="11" fillId="0" borderId="29" xfId="0" applyNumberFormat="1" applyFont="1" applyBorder="1" applyAlignment="1">
      <alignment vertical="center" wrapText="1" shrinkToFit="1"/>
    </xf>
    <xf numFmtId="3" fontId="11" fillId="0" borderId="27" xfId="0" applyNumberFormat="1" applyFont="1" applyBorder="1" applyAlignment="1">
      <alignment vertical="center" wrapText="1" shrinkToFit="1"/>
    </xf>
    <xf numFmtId="3" fontId="11" fillId="0" borderId="37" xfId="0" applyNumberFormat="1" applyFont="1" applyBorder="1" applyAlignment="1">
      <alignment vertical="center" wrapText="1" shrinkToFit="1"/>
    </xf>
    <xf numFmtId="3" fontId="11" fillId="0" borderId="34" xfId="0" applyNumberFormat="1" applyFont="1" applyBorder="1" applyAlignment="1">
      <alignment vertical="center" wrapText="1" shrinkToFit="1"/>
    </xf>
    <xf numFmtId="3" fontId="11" fillId="0" borderId="35" xfId="0" applyNumberFormat="1" applyFont="1" applyBorder="1" applyAlignment="1">
      <alignment vertical="center" wrapText="1" shrinkToFit="1"/>
    </xf>
    <xf numFmtId="3" fontId="11" fillId="0" borderId="24" xfId="0" applyNumberFormat="1" applyFont="1" applyBorder="1" applyAlignment="1">
      <alignment vertical="center" wrapText="1" shrinkToFit="1"/>
    </xf>
    <xf numFmtId="3" fontId="11" fillId="0" borderId="30" xfId="0" applyNumberFormat="1" applyFont="1" applyBorder="1" applyAlignment="1">
      <alignment horizontal="right" vertical="center" wrapText="1" shrinkToFit="1"/>
    </xf>
    <xf numFmtId="3" fontId="11" fillId="0" borderId="64" xfId="0" applyNumberFormat="1" applyFont="1" applyBorder="1" applyAlignment="1">
      <alignment vertical="center" wrapText="1" shrinkToFit="1"/>
    </xf>
    <xf numFmtId="3" fontId="11" fillId="0" borderId="66" xfId="0" applyNumberFormat="1" applyFont="1" applyBorder="1" applyAlignment="1">
      <alignment vertical="center" wrapText="1" shrinkToFit="1"/>
    </xf>
    <xf numFmtId="3" fontId="11" fillId="0" borderId="62" xfId="0" applyNumberFormat="1" applyFont="1" applyBorder="1" applyAlignment="1">
      <alignment vertical="center" wrapText="1" shrinkToFit="1"/>
    </xf>
    <xf numFmtId="49" fontId="9" fillId="0" borderId="25" xfId="0" applyNumberFormat="1" applyFont="1" applyBorder="1" applyAlignment="1">
      <alignment vertical="center" wrapText="1" shrinkToFit="1"/>
    </xf>
    <xf numFmtId="49" fontId="9" fillId="0" borderId="50" xfId="0" applyNumberFormat="1" applyFont="1" applyBorder="1" applyAlignment="1">
      <alignment vertical="center" wrapText="1" shrinkToFit="1"/>
    </xf>
    <xf numFmtId="3" fontId="9" fillId="0" borderId="42" xfId="0" applyNumberFormat="1" applyFont="1" applyBorder="1" applyAlignment="1">
      <alignment vertical="center" wrapText="1" shrinkToFit="1"/>
    </xf>
    <xf numFmtId="3" fontId="9" fillId="0" borderId="15" xfId="0" applyNumberFormat="1" applyFont="1" applyBorder="1" applyAlignment="1">
      <alignment vertical="center" wrapText="1" shrinkToFit="1"/>
    </xf>
    <xf numFmtId="3" fontId="11" fillId="0" borderId="10" xfId="0" applyNumberFormat="1" applyFont="1" applyBorder="1" applyAlignment="1">
      <alignment vertical="center" wrapText="1" shrinkToFit="1"/>
    </xf>
    <xf numFmtId="3" fontId="9" fillId="0" borderId="27" xfId="0" applyNumberFormat="1" applyFont="1" applyBorder="1" applyAlignment="1">
      <alignment vertical="center" wrapText="1" shrinkToFit="1"/>
    </xf>
    <xf numFmtId="3" fontId="9" fillId="0" borderId="13" xfId="0" applyNumberFormat="1" applyFont="1" applyBorder="1" applyAlignment="1">
      <alignment vertical="center" wrapText="1" shrinkToFit="1"/>
    </xf>
    <xf numFmtId="3" fontId="9" fillId="0" borderId="20" xfId="0" applyNumberFormat="1" applyFont="1" applyBorder="1" applyAlignment="1">
      <alignment vertical="center" wrapText="1" shrinkToFit="1"/>
    </xf>
    <xf numFmtId="3" fontId="9" fillId="0" borderId="62" xfId="0" applyNumberFormat="1" applyFont="1" applyBorder="1" applyAlignment="1">
      <alignment vertical="center" wrapText="1" shrinkToFit="1"/>
    </xf>
    <xf numFmtId="3" fontId="9" fillId="0" borderId="64" xfId="0" applyNumberFormat="1" applyFont="1" applyBorder="1" applyAlignment="1">
      <alignment vertical="center" wrapText="1" shrinkToFit="1"/>
    </xf>
    <xf numFmtId="3" fontId="9" fillId="0" borderId="66" xfId="0" applyNumberFormat="1" applyFont="1" applyBorder="1" applyAlignment="1">
      <alignment vertical="center" wrapText="1" shrinkToFit="1"/>
    </xf>
    <xf numFmtId="3" fontId="9" fillId="0" borderId="25" xfId="0" applyNumberFormat="1" applyFont="1" applyBorder="1" applyAlignment="1">
      <alignment vertical="center" wrapText="1" shrinkToFit="1"/>
    </xf>
    <xf numFmtId="0" fontId="56" fillId="0" borderId="46" xfId="0" applyFont="1" applyBorder="1" applyAlignment="1" applyProtection="1">
      <alignment vertical="center" wrapText="1"/>
      <protection locked="0"/>
    </xf>
    <xf numFmtId="9" fontId="40" fillId="0" borderId="2" xfId="1" applyNumberFormat="1" applyBorder="1" applyAlignment="1">
      <alignment horizontal="center"/>
      <protection locked="0"/>
    </xf>
    <xf numFmtId="165" fontId="40" fillId="0" borderId="38" xfId="1" applyNumberFormat="1" applyBorder="1">
      <protection locked="0"/>
    </xf>
    <xf numFmtId="9" fontId="40" fillId="0" borderId="65" xfId="1" applyNumberFormat="1" applyBorder="1" applyAlignment="1">
      <alignment horizontal="center"/>
      <protection locked="0"/>
    </xf>
    <xf numFmtId="9" fontId="40" fillId="0" borderId="62" xfId="1" applyNumberFormat="1" applyBorder="1" applyAlignment="1">
      <alignment horizontal="center"/>
      <protection locked="0"/>
    </xf>
    <xf numFmtId="9" fontId="40" fillId="0" borderId="63" xfId="1" applyNumberFormat="1" applyBorder="1" applyAlignment="1">
      <alignment horizontal="center"/>
      <protection locked="0"/>
    </xf>
    <xf numFmtId="9" fontId="40" fillId="0" borderId="30" xfId="1" applyNumberFormat="1" applyBorder="1" applyAlignment="1">
      <alignment horizontal="center"/>
      <protection locked="0"/>
    </xf>
    <xf numFmtId="9" fontId="40" fillId="0" borderId="45" xfId="1" applyNumberFormat="1" applyBorder="1" applyAlignment="1">
      <alignment horizontal="center"/>
      <protection locked="0"/>
    </xf>
    <xf numFmtId="165" fontId="40" fillId="0" borderId="24" xfId="1" applyNumberFormat="1" applyBorder="1">
      <protection locked="0"/>
    </xf>
    <xf numFmtId="9" fontId="40" fillId="0" borderId="42" xfId="1" applyNumberFormat="1" applyBorder="1" applyAlignment="1">
      <alignment horizontal="center"/>
      <protection locked="0"/>
    </xf>
    <xf numFmtId="165" fontId="40" fillId="0" borderId="62" xfId="1" applyNumberFormat="1" applyBorder="1">
      <protection locked="0"/>
    </xf>
    <xf numFmtId="165" fontId="1" fillId="0" borderId="34" xfId="0" applyNumberFormat="1" applyFont="1" applyBorder="1"/>
    <xf numFmtId="165" fontId="1" fillId="0" borderId="36" xfId="0" applyNumberFormat="1" applyFont="1" applyBorder="1"/>
    <xf numFmtId="165" fontId="40" fillId="0" borderId="25" xfId="1" applyNumberFormat="1" applyBorder="1">
      <protection locked="0"/>
    </xf>
    <xf numFmtId="165" fontId="40" fillId="0" borderId="37" xfId="1" applyNumberFormat="1" applyBorder="1">
      <protection locked="0"/>
    </xf>
    <xf numFmtId="165" fontId="40" fillId="0" borderId="65" xfId="1" applyNumberFormat="1" applyBorder="1">
      <protection locked="0"/>
    </xf>
    <xf numFmtId="165" fontId="40" fillId="0" borderId="74" xfId="1" applyNumberFormat="1" applyBorder="1">
      <protection locked="0"/>
    </xf>
    <xf numFmtId="165" fontId="40" fillId="0" borderId="60" xfId="1" applyNumberFormat="1" applyBorder="1">
      <protection locked="0"/>
    </xf>
    <xf numFmtId="165" fontId="40" fillId="0" borderId="52" xfId="1" applyNumberFormat="1" applyBorder="1">
      <protection locked="0"/>
    </xf>
    <xf numFmtId="165" fontId="40" fillId="0" borderId="45" xfId="1" applyNumberFormat="1" applyBorder="1">
      <protection locked="0"/>
    </xf>
    <xf numFmtId="1" fontId="9" fillId="0" borderId="45" xfId="0" applyNumberFormat="1" applyFont="1" applyBorder="1" applyAlignment="1">
      <alignment horizontal="center" vertical="center" wrapText="1" shrinkToFit="1"/>
    </xf>
    <xf numFmtId="1" fontId="9" fillId="24" borderId="48" xfId="0" applyNumberFormat="1" applyFont="1" applyFill="1" applyBorder="1" applyAlignment="1">
      <alignment horizontal="center" vertical="center" wrapText="1" shrinkToFit="1"/>
    </xf>
    <xf numFmtId="1" fontId="9" fillId="0" borderId="65" xfId="0" applyNumberFormat="1" applyFont="1" applyBorder="1" applyAlignment="1">
      <alignment horizontal="center" vertical="center" wrapText="1" shrinkToFit="1"/>
    </xf>
    <xf numFmtId="1" fontId="11" fillId="0" borderId="9" xfId="0" applyNumberFormat="1" applyFont="1" applyBorder="1" applyAlignment="1">
      <alignment horizontal="center" vertical="center" wrapText="1" shrinkToFit="1"/>
    </xf>
    <xf numFmtId="1" fontId="10" fillId="10" borderId="8" xfId="0" applyNumberFormat="1" applyFont="1" applyFill="1" applyBorder="1" applyAlignment="1">
      <alignment horizontal="center" vertical="center" wrapText="1" shrinkToFit="1"/>
    </xf>
    <xf numFmtId="1" fontId="10" fillId="10" borderId="48" xfId="0" applyNumberFormat="1" applyFont="1" applyFill="1" applyBorder="1" applyAlignment="1">
      <alignment horizontal="center"/>
    </xf>
    <xf numFmtId="1" fontId="10" fillId="10" borderId="53" xfId="0" applyNumberFormat="1" applyFont="1" applyFill="1" applyBorder="1" applyAlignment="1">
      <alignment horizontal="center" vertical="center" wrapText="1" shrinkToFit="1"/>
    </xf>
    <xf numFmtId="1" fontId="10" fillId="11" borderId="45" xfId="0" applyNumberFormat="1" applyFont="1" applyFill="1" applyBorder="1" applyAlignment="1">
      <alignment horizontal="center" vertical="center" wrapText="1" shrinkToFit="1"/>
    </xf>
    <xf numFmtId="1" fontId="17" fillId="9" borderId="2" xfId="0" applyNumberFormat="1" applyFont="1" applyFill="1" applyBorder="1" applyAlignment="1">
      <alignment horizontal="center"/>
    </xf>
    <xf numFmtId="1" fontId="9" fillId="0" borderId="38" xfId="0" applyNumberFormat="1" applyFont="1" applyBorder="1" applyAlignment="1">
      <alignment horizontal="center" vertical="center" wrapText="1" shrinkToFit="1"/>
    </xf>
    <xf numFmtId="1" fontId="11" fillId="0" borderId="26" xfId="0" applyNumberFormat="1" applyFont="1" applyBorder="1" applyAlignment="1">
      <alignment horizontal="center" vertical="center" wrapText="1" shrinkToFit="1"/>
    </xf>
    <xf numFmtId="1" fontId="10" fillId="10" borderId="1" xfId="0" applyNumberFormat="1" applyFont="1" applyFill="1" applyBorder="1" applyAlignment="1">
      <alignment horizontal="center" vertical="center" wrapText="1" shrinkToFit="1"/>
    </xf>
    <xf numFmtId="1" fontId="10" fillId="10" borderId="1" xfId="0" applyNumberFormat="1" applyFont="1" applyFill="1" applyBorder="1" applyAlignment="1">
      <alignment horizontal="center" vertical="center"/>
    </xf>
    <xf numFmtId="1" fontId="11" fillId="0" borderId="38" xfId="0" applyNumberFormat="1" applyFont="1" applyBorder="1" applyAlignment="1">
      <alignment horizontal="center" vertical="center" wrapText="1" shrinkToFit="1"/>
    </xf>
    <xf numFmtId="1" fontId="11" fillId="0" borderId="21" xfId="0" applyNumberFormat="1" applyFont="1" applyBorder="1" applyAlignment="1">
      <alignment horizontal="center" vertical="center" wrapText="1" shrinkToFit="1"/>
    </xf>
    <xf numFmtId="1" fontId="11" fillId="0" borderId="14" xfId="0" applyNumberFormat="1" applyFont="1" applyBorder="1" applyAlignment="1">
      <alignment horizontal="center" vertical="center" wrapText="1" shrinkToFit="1"/>
    </xf>
    <xf numFmtId="1" fontId="11" fillId="0" borderId="33" xfId="0" applyNumberFormat="1" applyFont="1" applyBorder="1" applyAlignment="1">
      <alignment horizontal="center" vertical="center" wrapText="1" shrinkToFit="1"/>
    </xf>
    <xf numFmtId="3" fontId="10" fillId="11" borderId="30" xfId="0" applyNumberFormat="1" applyFont="1" applyFill="1" applyBorder="1" applyAlignment="1">
      <alignment vertical="center" wrapText="1" shrinkToFit="1"/>
    </xf>
    <xf numFmtId="49" fontId="10" fillId="10" borderId="72" xfId="0" applyNumberFormat="1" applyFont="1" applyFill="1" applyBorder="1" applyAlignment="1">
      <alignment vertical="center" wrapText="1" shrinkToFit="1"/>
    </xf>
    <xf numFmtId="3" fontId="10" fillId="11" borderId="25" xfId="0" applyNumberFormat="1" applyFont="1" applyFill="1" applyBorder="1" applyAlignment="1">
      <alignment vertical="center" wrapText="1" shrinkToFit="1"/>
    </xf>
    <xf numFmtId="49" fontId="10" fillId="10" borderId="15" xfId="0" applyNumberFormat="1" applyFont="1" applyFill="1" applyBorder="1" applyAlignment="1">
      <alignment vertical="center" wrapText="1" shrinkToFit="1"/>
    </xf>
    <xf numFmtId="3" fontId="10" fillId="11" borderId="72" xfId="0" applyNumberFormat="1" applyFont="1" applyFill="1" applyBorder="1" applyAlignment="1">
      <alignment vertical="center" wrapText="1" shrinkToFit="1"/>
    </xf>
    <xf numFmtId="1" fontId="10" fillId="10" borderId="26" xfId="0" applyNumberFormat="1" applyFont="1" applyFill="1" applyBorder="1" applyAlignment="1">
      <alignment horizontal="center" vertical="center"/>
    </xf>
    <xf numFmtId="1" fontId="10" fillId="10" borderId="27" xfId="0" applyNumberFormat="1" applyFont="1" applyFill="1" applyBorder="1" applyAlignment="1">
      <alignment horizontal="center" vertical="center"/>
    </xf>
    <xf numFmtId="3" fontId="22" fillId="0" borderId="52" xfId="0" applyNumberFormat="1" applyFont="1" applyBorder="1" applyAlignment="1" applyProtection="1">
      <alignment vertical="center" wrapText="1"/>
      <protection locked="0"/>
    </xf>
    <xf numFmtId="3" fontId="9" fillId="0" borderId="52" xfId="0" applyNumberFormat="1" applyFont="1" applyBorder="1" applyAlignment="1">
      <alignment vertical="center" wrapText="1" shrinkToFit="1"/>
    </xf>
    <xf numFmtId="3" fontId="9" fillId="0" borderId="60" xfId="0" applyNumberFormat="1" applyFont="1" applyBorder="1" applyAlignment="1">
      <alignment vertical="center" wrapText="1" shrinkToFit="1"/>
    </xf>
    <xf numFmtId="3" fontId="22" fillId="0" borderId="28" xfId="0" applyNumberFormat="1" applyFont="1" applyBorder="1" applyAlignment="1" applyProtection="1">
      <alignment horizontal="center" vertical="center" wrapText="1"/>
      <protection locked="0"/>
    </xf>
    <xf numFmtId="3" fontId="22" fillId="0" borderId="33" xfId="0" applyNumberFormat="1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1" fontId="11" fillId="0" borderId="46" xfId="0" applyNumberFormat="1" applyFont="1" applyBorder="1" applyAlignment="1">
      <alignment horizontal="center" vertical="center" wrapText="1" shrinkToFit="1"/>
    </xf>
    <xf numFmtId="0" fontId="0" fillId="0" borderId="12" xfId="0" applyBorder="1"/>
    <xf numFmtId="3" fontId="8" fillId="0" borderId="43" xfId="0" applyNumberFormat="1" applyFont="1" applyBorder="1" applyAlignment="1">
      <alignment vertical="center" wrapText="1" shrinkToFit="1"/>
    </xf>
    <xf numFmtId="3" fontId="11" fillId="0" borderId="52" xfId="0" applyNumberFormat="1" applyFont="1" applyBorder="1" applyAlignment="1">
      <alignment vertical="center" wrapText="1" shrinkToFit="1"/>
    </xf>
    <xf numFmtId="0" fontId="20" fillId="0" borderId="64" xfId="0" applyFont="1" applyBorder="1" applyAlignment="1" applyProtection="1">
      <alignment vertical="center" wrapText="1"/>
      <protection locked="0"/>
    </xf>
    <xf numFmtId="0" fontId="22" fillId="0" borderId="65" xfId="0" applyFont="1" applyBorder="1" applyAlignment="1" applyProtection="1">
      <alignment vertical="center" wrapText="1"/>
      <protection locked="0"/>
    </xf>
    <xf numFmtId="0" fontId="20" fillId="0" borderId="46" xfId="0" applyFont="1" applyBorder="1" applyAlignment="1">
      <alignment horizontal="center" vertical="center" wrapText="1" shrinkToFit="1"/>
    </xf>
    <xf numFmtId="3" fontId="20" fillId="0" borderId="9" xfId="0" applyNumberFormat="1" applyFont="1" applyBorder="1" applyAlignment="1">
      <alignment horizontal="right" vertical="center" wrapText="1" shrinkToFit="1"/>
    </xf>
    <xf numFmtId="3" fontId="9" fillId="0" borderId="27" xfId="0" applyNumberFormat="1" applyFont="1" applyBorder="1" applyAlignment="1">
      <alignment horizontal="center" vertical="center" wrapText="1" shrinkToFit="1"/>
    </xf>
    <xf numFmtId="3" fontId="9" fillId="0" borderId="13" xfId="0" applyNumberFormat="1" applyFont="1" applyBorder="1" applyAlignment="1">
      <alignment horizontal="center" vertical="center" wrapText="1" shrinkToFit="1"/>
    </xf>
    <xf numFmtId="3" fontId="9" fillId="0" borderId="38" xfId="0" applyNumberFormat="1" applyFont="1" applyBorder="1" applyAlignment="1">
      <alignment horizontal="center" vertical="center" wrapText="1" shrinkToFit="1"/>
    </xf>
    <xf numFmtId="3" fontId="11" fillId="0" borderId="26" xfId="0" applyNumberFormat="1" applyFont="1" applyBorder="1" applyAlignment="1">
      <alignment horizontal="center" vertical="center" wrapText="1" shrinkToFit="1"/>
    </xf>
    <xf numFmtId="3" fontId="9" fillId="0" borderId="14" xfId="0" applyNumberFormat="1" applyFont="1" applyBorder="1" applyAlignment="1">
      <alignment horizontal="center" vertical="center" wrapText="1" shrinkToFit="1"/>
    </xf>
    <xf numFmtId="3" fontId="12" fillId="3" borderId="2" xfId="0" applyNumberFormat="1" applyFont="1" applyFill="1" applyBorder="1" applyAlignment="1">
      <alignment horizontal="center" vertical="center" wrapText="1" shrinkToFit="1"/>
    </xf>
    <xf numFmtId="3" fontId="57" fillId="0" borderId="0" xfId="0" applyNumberFormat="1" applyFont="1"/>
    <xf numFmtId="3" fontId="72" fillId="0" borderId="0" xfId="0" applyNumberFormat="1" applyFont="1"/>
    <xf numFmtId="0" fontId="22" fillId="0" borderId="62" xfId="0" applyFont="1" applyBorder="1" applyAlignment="1" applyProtection="1">
      <alignment vertical="center" wrapText="1"/>
      <protection locked="0"/>
    </xf>
    <xf numFmtId="9" fontId="22" fillId="0" borderId="25" xfId="0" applyNumberFormat="1" applyFont="1" applyBorder="1" applyAlignment="1" applyProtection="1">
      <alignment horizontal="center" vertical="center" wrapText="1"/>
      <protection locked="0"/>
    </xf>
    <xf numFmtId="1" fontId="9" fillId="0" borderId="26" xfId="0" applyNumberFormat="1" applyFont="1" applyBorder="1" applyAlignment="1">
      <alignment horizontal="center" vertical="center" wrapText="1" shrinkToFit="1"/>
    </xf>
    <xf numFmtId="1" fontId="9" fillId="0" borderId="33" xfId="0" applyNumberFormat="1" applyFont="1" applyBorder="1" applyAlignment="1">
      <alignment horizontal="center" vertical="center" wrapText="1" shrinkToFit="1"/>
    </xf>
    <xf numFmtId="1" fontId="9" fillId="0" borderId="21" xfId="0" applyNumberFormat="1" applyFont="1" applyBorder="1" applyAlignment="1">
      <alignment horizontal="center" vertical="center" wrapText="1" shrinkToFit="1"/>
    </xf>
    <xf numFmtId="49" fontId="9" fillId="0" borderId="24" xfId="0" applyNumberFormat="1" applyFont="1" applyBorder="1" applyAlignment="1">
      <alignment vertical="center" wrapText="1" shrinkToFit="1"/>
    </xf>
    <xf numFmtId="3" fontId="9" fillId="0" borderId="25" xfId="0" applyNumberFormat="1" applyFont="1" applyBorder="1" applyAlignment="1">
      <alignment horizontal="right" vertical="center" wrapText="1" shrinkToFit="1"/>
    </xf>
    <xf numFmtId="49" fontId="9" fillId="0" borderId="42" xfId="0" applyNumberFormat="1" applyFont="1" applyBorder="1" applyAlignment="1">
      <alignment vertical="center" wrapText="1" shrinkToFit="1"/>
    </xf>
    <xf numFmtId="3" fontId="9" fillId="0" borderId="56" xfId="0" applyNumberFormat="1" applyFont="1" applyBorder="1" applyAlignment="1">
      <alignment vertical="center" wrapText="1" shrinkToFit="1"/>
    </xf>
    <xf numFmtId="49" fontId="55" fillId="0" borderId="30" xfId="0" applyNumberFormat="1" applyFont="1" applyBorder="1" applyAlignment="1">
      <alignment vertical="top" wrapText="1"/>
    </xf>
    <xf numFmtId="49" fontId="55" fillId="0" borderId="35" xfId="0" applyNumberFormat="1" applyFont="1" applyBorder="1" applyAlignment="1">
      <alignment wrapText="1"/>
    </xf>
    <xf numFmtId="3" fontId="24" fillId="0" borderId="46" xfId="0" applyNumberFormat="1" applyFont="1" applyBorder="1" applyAlignment="1" applyProtection="1">
      <alignment horizontal="right" wrapText="1"/>
      <protection locked="0"/>
    </xf>
    <xf numFmtId="3" fontId="24" fillId="0" borderId="41" xfId="0" applyNumberFormat="1" applyFont="1" applyBorder="1" applyAlignment="1" applyProtection="1">
      <alignment horizontal="right" wrapText="1"/>
      <protection locked="0"/>
    </xf>
    <xf numFmtId="3" fontId="21" fillId="0" borderId="65" xfId="1" applyNumberFormat="1" applyFont="1" applyBorder="1" applyAlignment="1">
      <alignment horizontal="center"/>
      <protection locked="0"/>
    </xf>
    <xf numFmtId="3" fontId="25" fillId="0" borderId="65" xfId="1" applyNumberFormat="1" applyFont="1" applyBorder="1" applyAlignment="1">
      <alignment horizontal="center"/>
      <protection locked="0"/>
    </xf>
    <xf numFmtId="3" fontId="21" fillId="0" borderId="10" xfId="1" applyNumberFormat="1" applyFont="1" applyBorder="1" applyAlignment="1">
      <alignment horizontal="center"/>
      <protection locked="0"/>
    </xf>
    <xf numFmtId="49" fontId="18" fillId="24" borderId="44" xfId="0" applyNumberFormat="1" applyFont="1" applyFill="1" applyBorder="1" applyAlignment="1" applyProtection="1">
      <alignment vertical="center" wrapText="1"/>
      <protection locked="0"/>
    </xf>
    <xf numFmtId="0" fontId="18" fillId="24" borderId="45" xfId="0" applyFont="1" applyFill="1" applyBorder="1" applyAlignment="1" applyProtection="1">
      <alignment vertical="center" wrapText="1"/>
      <protection locked="0"/>
    </xf>
    <xf numFmtId="3" fontId="18" fillId="24" borderId="45" xfId="0" applyNumberFormat="1" applyFont="1" applyFill="1" applyBorder="1" applyAlignment="1" applyProtection="1">
      <alignment horizontal="right" wrapText="1"/>
      <protection locked="0"/>
    </xf>
    <xf numFmtId="3" fontId="21" fillId="24" borderId="45" xfId="1" applyNumberFormat="1" applyFont="1" applyFill="1" applyBorder="1">
      <protection locked="0"/>
    </xf>
    <xf numFmtId="3" fontId="21" fillId="24" borderId="45" xfId="1" applyNumberFormat="1" applyFont="1" applyFill="1" applyBorder="1" applyAlignment="1">
      <alignment horizontal="center"/>
      <protection locked="0"/>
    </xf>
    <xf numFmtId="3" fontId="21" fillId="24" borderId="9" xfId="1" applyNumberFormat="1" applyFont="1" applyFill="1" applyBorder="1">
      <protection locked="0"/>
    </xf>
    <xf numFmtId="49" fontId="18" fillId="24" borderId="59" xfId="0" applyNumberFormat="1" applyFont="1" applyFill="1" applyBorder="1" applyAlignment="1" applyProtection="1">
      <alignment vertical="center" wrapText="1"/>
      <protection locked="0"/>
    </xf>
    <xf numFmtId="0" fontId="18" fillId="24" borderId="60" xfId="0" applyFont="1" applyFill="1" applyBorder="1" applyAlignment="1" applyProtection="1">
      <alignment vertical="center" wrapText="1"/>
      <protection locked="0"/>
    </xf>
    <xf numFmtId="3" fontId="18" fillId="24" borderId="60" xfId="0" applyNumberFormat="1" applyFont="1" applyFill="1" applyBorder="1" applyAlignment="1" applyProtection="1">
      <alignment horizontal="right" wrapText="1"/>
      <protection locked="0"/>
    </xf>
    <xf numFmtId="3" fontId="21" fillId="24" borderId="30" xfId="1" applyNumberFormat="1" applyFont="1" applyFill="1" applyBorder="1">
      <protection locked="0"/>
    </xf>
    <xf numFmtId="3" fontId="21" fillId="24" borderId="14" xfId="1" applyNumberFormat="1" applyFont="1" applyFill="1" applyBorder="1" applyAlignment="1">
      <alignment horizontal="center"/>
      <protection locked="0"/>
    </xf>
    <xf numFmtId="3" fontId="21" fillId="24" borderId="32" xfId="1" applyNumberFormat="1" applyFont="1" applyFill="1" applyBorder="1">
      <protection locked="0"/>
    </xf>
    <xf numFmtId="0" fontId="18" fillId="24" borderId="29" xfId="0" applyFont="1" applyFill="1" applyBorder="1" applyAlignment="1" applyProtection="1">
      <alignment vertical="center" wrapText="1"/>
      <protection locked="0"/>
    </xf>
    <xf numFmtId="0" fontId="18" fillId="24" borderId="30" xfId="0" applyFont="1" applyFill="1" applyBorder="1" applyAlignment="1" applyProtection="1">
      <alignment vertical="center" wrapText="1"/>
      <protection locked="0"/>
    </xf>
    <xf numFmtId="3" fontId="18" fillId="24" borderId="30" xfId="0" applyNumberFormat="1" applyFont="1" applyFill="1" applyBorder="1" applyAlignment="1" applyProtection="1">
      <alignment horizontal="right" wrapText="1"/>
      <protection locked="0"/>
    </xf>
    <xf numFmtId="3" fontId="21" fillId="24" borderId="12" xfId="1" applyNumberFormat="1" applyFont="1" applyFill="1" applyBorder="1">
      <protection locked="0"/>
    </xf>
    <xf numFmtId="49" fontId="18" fillId="24" borderId="29" xfId="0" applyNumberFormat="1" applyFont="1" applyFill="1" applyBorder="1" applyAlignment="1" applyProtection="1">
      <alignment vertical="center" wrapText="1"/>
      <protection locked="0"/>
    </xf>
    <xf numFmtId="3" fontId="36" fillId="24" borderId="30" xfId="1" applyNumberFormat="1" applyFont="1" applyFill="1" applyBorder="1">
      <protection locked="0"/>
    </xf>
    <xf numFmtId="0" fontId="18" fillId="24" borderId="44" xfId="0" applyFont="1" applyFill="1" applyBorder="1" applyAlignment="1" applyProtection="1">
      <alignment vertical="center" wrapText="1"/>
      <protection locked="0"/>
    </xf>
    <xf numFmtId="3" fontId="20" fillId="0" borderId="65" xfId="1" applyNumberFormat="1" applyFont="1" applyBorder="1" applyAlignment="1">
      <alignment horizontal="center"/>
      <protection locked="0"/>
    </xf>
    <xf numFmtId="3" fontId="18" fillId="16" borderId="48" xfId="0" applyNumberFormat="1" applyFont="1" applyFill="1" applyBorder="1" applyAlignment="1" applyProtection="1">
      <alignment vertical="center" wrapText="1"/>
      <protection locked="0"/>
    </xf>
    <xf numFmtId="3" fontId="18" fillId="16" borderId="48" xfId="0" applyNumberFormat="1" applyFont="1" applyFill="1" applyBorder="1" applyAlignment="1" applyProtection="1">
      <alignment horizontal="center" vertical="center" wrapText="1"/>
      <protection locked="0"/>
    </xf>
    <xf numFmtId="3" fontId="18" fillId="16" borderId="2" xfId="0" applyNumberFormat="1" applyFont="1" applyFill="1" applyBorder="1" applyAlignment="1" applyProtection="1">
      <alignment vertical="center" wrapText="1"/>
      <protection locked="0"/>
    </xf>
    <xf numFmtId="3" fontId="18" fillId="16" borderId="49" xfId="0" applyNumberFormat="1" applyFont="1" applyFill="1" applyBorder="1" applyAlignment="1" applyProtection="1">
      <alignment horizontal="right" wrapText="1"/>
      <protection locked="0"/>
    </xf>
    <xf numFmtId="3" fontId="21" fillId="16" borderId="48" xfId="1" applyNumberFormat="1" applyFont="1" applyFill="1" applyBorder="1" applyAlignment="1">
      <alignment horizontal="center"/>
      <protection locked="0"/>
    </xf>
    <xf numFmtId="3" fontId="21" fillId="16" borderId="2" xfId="1" applyNumberFormat="1" applyFont="1" applyFill="1" applyBorder="1">
      <protection locked="0"/>
    </xf>
    <xf numFmtId="3" fontId="18" fillId="16" borderId="52" xfId="0" applyNumberFormat="1" applyFont="1" applyFill="1" applyBorder="1" applyAlignment="1" applyProtection="1">
      <alignment vertical="center" wrapText="1"/>
      <protection locked="0"/>
    </xf>
    <xf numFmtId="3" fontId="18" fillId="16" borderId="52" xfId="0" applyNumberFormat="1" applyFont="1" applyFill="1" applyBorder="1" applyAlignment="1" applyProtection="1">
      <alignment horizontal="center" vertical="center" wrapText="1"/>
      <protection locked="0"/>
    </xf>
    <xf numFmtId="3" fontId="21" fillId="16" borderId="1" xfId="2" applyNumberFormat="1" applyFont="1" applyFill="1" applyBorder="1" applyAlignment="1" applyProtection="1">
      <alignment vertical="center"/>
    </xf>
    <xf numFmtId="3" fontId="18" fillId="16" borderId="63" xfId="0" applyNumberFormat="1" applyFont="1" applyFill="1" applyBorder="1" applyAlignment="1" applyProtection="1">
      <alignment horizontal="right" vertical="center" wrapText="1"/>
      <protection locked="0"/>
    </xf>
    <xf numFmtId="3" fontId="18" fillId="16" borderId="1" xfId="0" applyNumberFormat="1" applyFont="1" applyFill="1" applyBorder="1" applyAlignment="1" applyProtection="1">
      <alignment vertical="center" wrapText="1"/>
      <protection locked="0"/>
    </xf>
    <xf numFmtId="0" fontId="18" fillId="16" borderId="49" xfId="0" applyFont="1" applyFill="1" applyBorder="1" applyAlignment="1" applyProtection="1">
      <alignment horizontal="right" vertical="center" wrapText="1"/>
      <protection locked="0"/>
    </xf>
    <xf numFmtId="3" fontId="18" fillId="16" borderId="4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41" xfId="0" applyFont="1" applyBorder="1" applyAlignment="1" applyProtection="1">
      <alignment horizontal="center" vertical="center" wrapText="1"/>
      <protection locked="0"/>
    </xf>
    <xf numFmtId="3" fontId="22" fillId="0" borderId="65" xfId="0" applyNumberFormat="1" applyFont="1" applyBorder="1" applyAlignment="1" applyProtection="1">
      <alignment vertical="center" wrapText="1"/>
      <protection locked="0"/>
    </xf>
    <xf numFmtId="171" fontId="22" fillId="0" borderId="64" xfId="0" applyNumberFormat="1" applyFont="1" applyBorder="1" applyAlignment="1" applyProtection="1">
      <alignment horizontal="center" vertical="center" wrapText="1"/>
      <protection locked="0"/>
    </xf>
    <xf numFmtId="3" fontId="65" fillId="0" borderId="0" xfId="0" applyNumberFormat="1" applyFont="1"/>
    <xf numFmtId="3" fontId="73" fillId="0" borderId="0" xfId="0" applyNumberFormat="1" applyFont="1"/>
    <xf numFmtId="3" fontId="74" fillId="0" borderId="0" xfId="0" applyNumberFormat="1" applyFont="1"/>
    <xf numFmtId="49" fontId="22" fillId="17" borderId="16" xfId="0" applyNumberFormat="1" applyFont="1" applyFill="1" applyBorder="1" applyAlignment="1" applyProtection="1">
      <alignment vertical="center" wrapText="1"/>
      <protection locked="0"/>
    </xf>
    <xf numFmtId="10" fontId="20" fillId="0" borderId="30" xfId="0" applyNumberFormat="1" applyFont="1" applyBorder="1" applyAlignment="1">
      <alignment horizontal="center" vertical="center" wrapText="1" shrinkToFit="1"/>
    </xf>
    <xf numFmtId="3" fontId="22" fillId="2" borderId="60" xfId="0" applyNumberFormat="1" applyFont="1" applyFill="1" applyBorder="1" applyAlignment="1" applyProtection="1">
      <alignment vertical="center" wrapText="1"/>
      <protection locked="0"/>
    </xf>
    <xf numFmtId="3" fontId="22" fillId="2" borderId="43" xfId="0" applyNumberFormat="1" applyFont="1" applyFill="1" applyBorder="1" applyAlignment="1" applyProtection="1">
      <alignment vertical="center" wrapText="1"/>
      <protection locked="0"/>
    </xf>
    <xf numFmtId="0" fontId="21" fillId="12" borderId="21" xfId="0" applyFont="1" applyFill="1" applyBorder="1" applyAlignment="1">
      <alignment horizontal="center" vertical="center" wrapText="1" shrinkToFit="1"/>
    </xf>
    <xf numFmtId="3" fontId="24" fillId="0" borderId="30" xfId="0" applyNumberFormat="1" applyFont="1" applyBorder="1" applyAlignment="1" applyProtection="1">
      <alignment vertical="center" wrapText="1"/>
      <protection locked="0"/>
    </xf>
    <xf numFmtId="0" fontId="22" fillId="25" borderId="30" xfId="0" applyFont="1" applyFill="1" applyBorder="1" applyAlignment="1" applyProtection="1">
      <alignment vertical="center" wrapText="1"/>
      <protection locked="0"/>
    </xf>
    <xf numFmtId="3" fontId="22" fillId="25" borderId="30" xfId="0" applyNumberFormat="1" applyFont="1" applyFill="1" applyBorder="1" applyAlignment="1" applyProtection="1">
      <alignment vertical="center" wrapText="1"/>
      <protection locked="0"/>
    </xf>
    <xf numFmtId="3" fontId="22" fillId="25" borderId="14" xfId="0" applyNumberFormat="1" applyFont="1" applyFill="1" applyBorder="1" applyAlignment="1" applyProtection="1">
      <alignment vertical="center" wrapText="1"/>
      <protection locked="0"/>
    </xf>
    <xf numFmtId="3" fontId="22" fillId="0" borderId="13" xfId="0" applyNumberFormat="1" applyFont="1" applyBorder="1" applyAlignment="1" applyProtection="1">
      <alignment vertical="center" wrapText="1"/>
      <protection locked="0"/>
    </xf>
    <xf numFmtId="0" fontId="22" fillId="25" borderId="41" xfId="0" applyFont="1" applyFill="1" applyBorder="1" applyAlignment="1" applyProtection="1">
      <alignment vertical="center" wrapText="1"/>
      <protection locked="0"/>
    </xf>
    <xf numFmtId="0" fontId="22" fillId="25" borderId="15" xfId="0" applyFont="1" applyFill="1" applyBorder="1" applyAlignment="1" applyProtection="1">
      <alignment vertical="center" wrapText="1"/>
      <protection locked="0"/>
    </xf>
    <xf numFmtId="3" fontId="22" fillId="25" borderId="13" xfId="0" applyNumberFormat="1" applyFont="1" applyFill="1" applyBorder="1" applyAlignment="1" applyProtection="1">
      <alignment vertical="center" wrapText="1"/>
      <protection locked="0"/>
    </xf>
    <xf numFmtId="0" fontId="18" fillId="0" borderId="64" xfId="0" applyFont="1" applyBorder="1" applyAlignment="1" applyProtection="1">
      <alignment vertical="center" wrapText="1"/>
      <protection locked="0"/>
    </xf>
    <xf numFmtId="0" fontId="22" fillId="17" borderId="58" xfId="0" applyFont="1" applyFill="1" applyBorder="1" applyAlignment="1" applyProtection="1">
      <alignment vertical="center" wrapText="1"/>
      <protection locked="0"/>
    </xf>
    <xf numFmtId="0" fontId="22" fillId="17" borderId="72" xfId="0" applyFont="1" applyFill="1" applyBorder="1" applyAlignment="1" applyProtection="1">
      <alignment vertical="center" wrapText="1"/>
      <protection locked="0"/>
    </xf>
    <xf numFmtId="3" fontId="22" fillId="17" borderId="71" xfId="0" applyNumberFormat="1" applyFont="1" applyFill="1" applyBorder="1" applyAlignment="1" applyProtection="1">
      <alignment vertical="center" wrapText="1"/>
      <protection locked="0"/>
    </xf>
    <xf numFmtId="0" fontId="0" fillId="0" borderId="30" xfId="0" applyBorder="1"/>
    <xf numFmtId="3" fontId="0" fillId="0" borderId="0" xfId="0" applyNumberFormat="1" applyAlignment="1">
      <alignment horizontal="center"/>
    </xf>
    <xf numFmtId="3" fontId="21" fillId="0" borderId="14" xfId="0" applyNumberFormat="1" applyFont="1" applyBorder="1" applyAlignment="1">
      <alignment horizontal="right" vertical="center" wrapText="1" shrinkToFit="1"/>
    </xf>
    <xf numFmtId="0" fontId="22" fillId="17" borderId="29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17" borderId="14" xfId="2" applyNumberFormat="1" applyFont="1" applyFill="1" applyBorder="1" applyProtection="1"/>
    <xf numFmtId="0" fontId="0" fillId="17" borderId="58" xfId="0" applyFill="1" applyBorder="1"/>
    <xf numFmtId="0" fontId="0" fillId="17" borderId="25" xfId="0" applyFill="1" applyBorder="1"/>
    <xf numFmtId="3" fontId="43" fillId="0" borderId="0" xfId="0" applyNumberFormat="1" applyFont="1"/>
    <xf numFmtId="3" fontId="26" fillId="0" borderId="10" xfId="0" applyNumberFormat="1" applyFont="1" applyBorder="1"/>
    <xf numFmtId="49" fontId="22" fillId="0" borderId="30" xfId="0" applyNumberFormat="1" applyFont="1" applyBorder="1" applyAlignment="1" applyProtection="1">
      <alignment horizontal="left" vertical="center" wrapText="1"/>
      <protection locked="0"/>
    </xf>
    <xf numFmtId="3" fontId="18" fillId="4" borderId="30" xfId="0" applyNumberFormat="1" applyFont="1" applyFill="1" applyBorder="1" applyAlignment="1" applyProtection="1">
      <alignment vertical="center" wrapText="1"/>
      <protection locked="0"/>
    </xf>
    <xf numFmtId="9" fontId="53" fillId="0" borderId="39" xfId="1" applyNumberFormat="1" applyFont="1" applyBorder="1" applyAlignment="1">
      <alignment horizontal="center"/>
      <protection locked="0"/>
    </xf>
    <xf numFmtId="9" fontId="53" fillId="0" borderId="2" xfId="1" applyNumberFormat="1" applyFont="1" applyBorder="1" applyAlignment="1">
      <alignment horizontal="center"/>
      <protection locked="0"/>
    </xf>
    <xf numFmtId="165" fontId="53" fillId="0" borderId="77" xfId="1" applyNumberFormat="1" applyFont="1" applyBorder="1">
      <protection locked="0"/>
    </xf>
    <xf numFmtId="9" fontId="0" fillId="0" borderId="79" xfId="1" applyNumberFormat="1" applyFont="1" applyBorder="1" applyAlignment="1">
      <alignment horizontal="center"/>
      <protection locked="0"/>
    </xf>
    <xf numFmtId="0" fontId="2" fillId="3" borderId="4" xfId="0" applyFont="1" applyFill="1" applyBorder="1"/>
    <xf numFmtId="165" fontId="53" fillId="0" borderId="7" xfId="1" applyNumberFormat="1" applyFont="1" applyBorder="1">
      <protection locked="0"/>
    </xf>
    <xf numFmtId="3" fontId="20" fillId="0" borderId="64" xfId="0" applyNumberFormat="1" applyFont="1" applyBorder="1" applyAlignment="1" applyProtection="1">
      <alignment vertical="center" wrapText="1"/>
      <protection locked="0"/>
    </xf>
    <xf numFmtId="3" fontId="20" fillId="0" borderId="64" xfId="0" applyNumberFormat="1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vertical="center" wrapText="1"/>
      <protection locked="0"/>
    </xf>
    <xf numFmtId="3" fontId="20" fillId="17" borderId="45" xfId="0" applyNumberFormat="1" applyFont="1" applyFill="1" applyBorder="1" applyAlignment="1" applyProtection="1">
      <alignment vertical="center" wrapText="1"/>
      <protection locked="0"/>
    </xf>
    <xf numFmtId="3" fontId="20" fillId="17" borderId="30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76" xfId="0" applyNumberFormat="1" applyFont="1" applyBorder="1" applyAlignment="1">
      <alignment vertical="center" wrapText="1" shrinkToFit="1"/>
    </xf>
    <xf numFmtId="3" fontId="9" fillId="0" borderId="18" xfId="0" applyNumberFormat="1" applyFont="1" applyBorder="1" applyAlignment="1">
      <alignment vertical="center" wrapText="1" shrinkToFit="1"/>
    </xf>
    <xf numFmtId="3" fontId="9" fillId="0" borderId="69" xfId="0" applyNumberFormat="1" applyFont="1" applyBorder="1" applyAlignment="1">
      <alignment vertical="center" wrapText="1" shrinkToFit="1"/>
    </xf>
    <xf numFmtId="3" fontId="20" fillId="0" borderId="30" xfId="1" applyNumberFormat="1" applyFont="1" applyBorder="1" applyAlignment="1">
      <alignment horizontal="center"/>
      <protection locked="0"/>
    </xf>
    <xf numFmtId="3" fontId="22" fillId="0" borderId="47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Border="1" applyAlignment="1" applyProtection="1">
      <alignment horizontal="right" vertical="center" wrapText="1"/>
      <protection locked="0"/>
    </xf>
    <xf numFmtId="3" fontId="18" fillId="17" borderId="28" xfId="0" applyNumberFormat="1" applyFont="1" applyFill="1" applyBorder="1" applyAlignment="1" applyProtection="1">
      <alignment vertical="center" wrapText="1"/>
      <protection locked="0"/>
    </xf>
    <xf numFmtId="3" fontId="18" fillId="25" borderId="13" xfId="0" applyNumberFormat="1" applyFont="1" applyFill="1" applyBorder="1" applyAlignment="1" applyProtection="1">
      <alignment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18" fillId="0" borderId="28" xfId="0" applyNumberFormat="1" applyFont="1" applyBorder="1" applyAlignment="1" applyProtection="1">
      <alignment vertical="center" wrapText="1"/>
      <protection locked="0"/>
    </xf>
    <xf numFmtId="0" fontId="20" fillId="0" borderId="67" xfId="0" applyFont="1" applyBorder="1" applyAlignment="1" applyProtection="1">
      <alignment vertical="center" wrapText="1"/>
      <protection locked="0"/>
    </xf>
    <xf numFmtId="3" fontId="22" fillId="0" borderId="79" xfId="0" applyNumberFormat="1" applyFont="1" applyBorder="1" applyAlignment="1" applyProtection="1">
      <alignment horizontal="right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75" fillId="0" borderId="0" xfId="0" applyNumberFormat="1" applyFont="1"/>
    <xf numFmtId="3" fontId="76" fillId="0" borderId="0" xfId="0" applyNumberFormat="1" applyFont="1"/>
    <xf numFmtId="3" fontId="76" fillId="0" borderId="10" xfId="0" applyNumberFormat="1" applyFont="1" applyBorder="1"/>
    <xf numFmtId="3" fontId="20" fillId="0" borderId="9" xfId="2" applyNumberFormat="1" applyFont="1" applyBorder="1" applyProtection="1"/>
    <xf numFmtId="49" fontId="3" fillId="4" borderId="20" xfId="3" applyNumberFormat="1" applyFont="1" applyFill="1" applyBorder="1" applyAlignment="1" applyProtection="1">
      <alignment horizontal="center" vertical="center"/>
    </xf>
    <xf numFmtId="0" fontId="2" fillId="3" borderId="39" xfId="0" applyFont="1" applyFill="1" applyBorder="1"/>
    <xf numFmtId="0" fontId="2" fillId="3" borderId="6" xfId="0" applyFont="1" applyFill="1" applyBorder="1"/>
    <xf numFmtId="3" fontId="2" fillId="4" borderId="3" xfId="0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2" fillId="5" borderId="47" xfId="0" applyNumberFormat="1" applyFont="1" applyFill="1" applyBorder="1" applyAlignment="1">
      <alignment horizontal="center" vertical="center" wrapText="1" shrinkToFit="1"/>
    </xf>
    <xf numFmtId="0" fontId="14" fillId="6" borderId="54" xfId="0" applyFont="1" applyFill="1" applyBorder="1" applyAlignment="1">
      <alignment horizontal="center" vertical="center"/>
    </xf>
    <xf numFmtId="49" fontId="10" fillId="5" borderId="47" xfId="0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8" fillId="6" borderId="36" xfId="0" applyFont="1" applyFill="1" applyBorder="1" applyAlignment="1">
      <alignment horizontal="center" vertical="center" wrapText="1" shrinkToFit="1"/>
    </xf>
    <xf numFmtId="0" fontId="8" fillId="6" borderId="37" xfId="0" applyFont="1" applyFill="1" applyBorder="1" applyAlignment="1">
      <alignment horizontal="center" vertical="center" wrapText="1" shrinkToFit="1"/>
    </xf>
    <xf numFmtId="3" fontId="8" fillId="6" borderId="41" xfId="0" applyNumberFormat="1" applyFont="1" applyFill="1" applyBorder="1" applyAlignment="1">
      <alignment horizontal="center" vertical="center" wrapText="1" shrinkToFit="1"/>
    </xf>
    <xf numFmtId="0" fontId="0" fillId="0" borderId="15" xfId="0" applyBorder="1" applyAlignment="1">
      <alignment horizontal="center"/>
    </xf>
    <xf numFmtId="0" fontId="18" fillId="8" borderId="39" xfId="0" applyFont="1" applyFill="1" applyBorder="1" applyAlignment="1" applyProtection="1">
      <alignment horizontal="center" vertical="center" wrapText="1"/>
      <protection locked="0"/>
    </xf>
    <xf numFmtId="0" fontId="18" fillId="16" borderId="47" xfId="0" applyFont="1" applyFill="1" applyBorder="1" applyAlignment="1" applyProtection="1">
      <alignment horizontal="center" vertical="center" wrapText="1"/>
      <protection locked="0"/>
    </xf>
    <xf numFmtId="0" fontId="18" fillId="8" borderId="40" xfId="0" applyFont="1" applyFill="1" applyBorder="1" applyAlignment="1" applyProtection="1">
      <alignment horizontal="center" vertical="center" wrapText="1"/>
      <protection locked="0"/>
    </xf>
    <xf numFmtId="0" fontId="8" fillId="6" borderId="47" xfId="0" applyFont="1" applyFill="1" applyBorder="1" applyAlignment="1">
      <alignment horizontal="center" vertical="center" wrapText="1" shrinkToFit="1"/>
    </xf>
    <xf numFmtId="0" fontId="8" fillId="6" borderId="48" xfId="0" applyFont="1" applyFill="1" applyBorder="1" applyAlignment="1">
      <alignment horizontal="center" vertical="center" wrapText="1" shrinkToFit="1"/>
    </xf>
    <xf numFmtId="3" fontId="8" fillId="6" borderId="78" xfId="0" applyNumberFormat="1" applyFont="1" applyFill="1" applyBorder="1" applyAlignment="1">
      <alignment horizontal="center" vertical="center" wrapText="1" shrinkToFit="1"/>
    </xf>
    <xf numFmtId="3" fontId="0" fillId="0" borderId="22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0" fontId="17" fillId="9" borderId="47" xfId="0" applyFont="1" applyFill="1" applyBorder="1" applyAlignment="1">
      <alignment horizontal="left"/>
    </xf>
    <xf numFmtId="0" fontId="19" fillId="20" borderId="2" xfId="0" applyFont="1" applyFill="1" applyBorder="1" applyAlignment="1">
      <alignment horizontal="center" vertical="center"/>
    </xf>
    <xf numFmtId="0" fontId="18" fillId="16" borderId="51" xfId="0" applyFont="1" applyFill="1" applyBorder="1" applyAlignment="1" applyProtection="1">
      <alignment horizontal="center" vertical="center" wrapText="1"/>
      <protection locked="0"/>
    </xf>
    <xf numFmtId="0" fontId="18" fillId="8" borderId="6" xfId="0" applyFont="1" applyFill="1" applyBorder="1" applyAlignment="1" applyProtection="1">
      <alignment horizontal="center" vertical="center" wrapText="1"/>
      <protection locked="0"/>
    </xf>
    <xf numFmtId="0" fontId="18" fillId="8" borderId="5" xfId="0" applyFont="1" applyFill="1" applyBorder="1" applyAlignment="1" applyProtection="1">
      <alignment horizontal="center" vertical="center" wrapText="1"/>
      <protection locked="0"/>
    </xf>
    <xf numFmtId="0" fontId="18" fillId="8" borderId="77" xfId="0" applyFont="1" applyFill="1" applyBorder="1" applyAlignment="1" applyProtection="1">
      <alignment horizontal="center" vertical="center" wrapText="1"/>
      <protection locked="0"/>
    </xf>
    <xf numFmtId="0" fontId="18" fillId="8" borderId="4" xfId="0" applyFont="1" applyFill="1" applyBorder="1" applyAlignment="1" applyProtection="1">
      <alignment horizontal="center" vertical="center" wrapText="1"/>
      <protection locked="0"/>
    </xf>
    <xf numFmtId="0" fontId="18" fillId="8" borderId="3" xfId="0" applyFont="1" applyFill="1" applyBorder="1" applyAlignment="1" applyProtection="1">
      <alignment horizontal="center" vertical="center" wrapText="1"/>
      <protection locked="0"/>
    </xf>
    <xf numFmtId="0" fontId="18" fillId="8" borderId="7" xfId="0" applyFont="1" applyFill="1" applyBorder="1" applyAlignment="1" applyProtection="1">
      <alignment horizontal="center" vertical="center" wrapText="1"/>
      <protection locked="0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17" fillId="7" borderId="2" xfId="0" applyFont="1" applyFill="1" applyBorder="1" applyAlignment="1">
      <alignment horizontal="center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3" fontId="18" fillId="16" borderId="47" xfId="0" applyNumberFormat="1" applyFont="1" applyFill="1" applyBorder="1" applyAlignment="1" applyProtection="1">
      <alignment horizontal="center" vertical="center" wrapText="1"/>
      <protection locked="0"/>
    </xf>
    <xf numFmtId="49" fontId="10" fillId="10" borderId="47" xfId="0" applyNumberFormat="1" applyFont="1" applyFill="1" applyBorder="1" applyAlignment="1">
      <alignment horizontal="center" vertical="center" wrapText="1" shrinkToFit="1"/>
    </xf>
    <xf numFmtId="49" fontId="10" fillId="10" borderId="47" xfId="0" applyNumberFormat="1" applyFont="1" applyFill="1" applyBorder="1" applyAlignment="1">
      <alignment horizontal="left" vertical="center" wrapText="1" shrinkToFit="1"/>
    </xf>
    <xf numFmtId="0" fontId="14" fillId="9" borderId="2" xfId="0" applyFont="1" applyFill="1" applyBorder="1" applyAlignment="1">
      <alignment horizontal="left"/>
    </xf>
    <xf numFmtId="0" fontId="10" fillId="10" borderId="47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28" fillId="6" borderId="2" xfId="0" applyFont="1" applyFill="1" applyBorder="1" applyAlignment="1">
      <alignment horizontal="center" vertical="center"/>
    </xf>
    <xf numFmtId="0" fontId="8" fillId="6" borderId="78" xfId="0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/>
    </xf>
    <xf numFmtId="0" fontId="0" fillId="0" borderId="75" xfId="0" applyBorder="1" applyAlignment="1">
      <alignment horizontal="center"/>
    </xf>
    <xf numFmtId="49" fontId="22" fillId="22" borderId="16" xfId="0" applyNumberFormat="1" applyFont="1" applyFill="1" applyBorder="1" applyAlignment="1" applyProtection="1">
      <alignment horizontal="center" vertical="center" wrapText="1"/>
      <protection locked="0"/>
    </xf>
    <xf numFmtId="49" fontId="22" fillId="22" borderId="6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21" fillId="6" borderId="51" xfId="0" applyFont="1" applyFill="1" applyBorder="1" applyAlignment="1">
      <alignment horizontal="center" vertical="center" wrapText="1" shrinkToFit="1"/>
    </xf>
    <xf numFmtId="0" fontId="21" fillId="6" borderId="52" xfId="0" applyFont="1" applyFill="1" applyBorder="1" applyAlignment="1">
      <alignment horizontal="center" vertical="center" wrapText="1" shrinkToFit="1"/>
    </xf>
    <xf numFmtId="0" fontId="21" fillId="6" borderId="58" xfId="0" applyFont="1" applyFill="1" applyBorder="1" applyAlignment="1">
      <alignment horizontal="center" vertical="center" wrapText="1" shrinkToFit="1"/>
    </xf>
    <xf numFmtId="0" fontId="0" fillId="0" borderId="72" xfId="0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6" borderId="47" xfId="0" applyFont="1" applyFill="1" applyBorder="1" applyAlignment="1">
      <alignment horizontal="center" vertical="center" wrapText="1" shrinkToFit="1"/>
    </xf>
    <xf numFmtId="0" fontId="21" fillId="6" borderId="48" xfId="0" applyFont="1" applyFill="1" applyBorder="1" applyAlignment="1">
      <alignment horizontal="center" vertical="center" wrapText="1" shrinkToFit="1"/>
    </xf>
    <xf numFmtId="0" fontId="18" fillId="8" borderId="47" xfId="0" applyFont="1" applyFill="1" applyBorder="1" applyAlignment="1" applyProtection="1">
      <alignment horizontal="center" vertical="center" wrapText="1"/>
      <protection locked="0"/>
    </xf>
    <xf numFmtId="0" fontId="18" fillId="8" borderId="48" xfId="0" applyFont="1" applyFill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0" fontId="18" fillId="8" borderId="8" xfId="0" applyFont="1" applyFill="1" applyBorder="1" applyAlignment="1" applyProtection="1">
      <alignment horizontal="center" vertical="center" wrapText="1"/>
      <protection locked="0"/>
    </xf>
    <xf numFmtId="0" fontId="21" fillId="6" borderId="59" xfId="0" applyFont="1" applyFill="1" applyBorder="1" applyAlignment="1">
      <alignment horizontal="center" vertical="center" wrapText="1" shrinkToFit="1"/>
    </xf>
    <xf numFmtId="0" fontId="21" fillId="6" borderId="60" xfId="0" applyFont="1" applyFill="1" applyBorder="1" applyAlignment="1">
      <alignment horizontal="center" vertical="center" wrapText="1" shrinkToFit="1"/>
    </xf>
    <xf numFmtId="169" fontId="22" fillId="0" borderId="0" xfId="0" applyNumberFormat="1" applyFont="1" applyAlignment="1" applyProtection="1">
      <alignment horizontal="center" vertical="center" wrapText="1"/>
      <protection locked="0"/>
    </xf>
    <xf numFmtId="0" fontId="21" fillId="6" borderId="54" xfId="0" applyFont="1" applyFill="1" applyBorder="1" applyAlignment="1">
      <alignment horizontal="center" vertical="center" wrapText="1" shrinkToFit="1"/>
    </xf>
    <xf numFmtId="0" fontId="21" fillId="6" borderId="56" xfId="0" applyFont="1" applyFill="1" applyBorder="1" applyAlignment="1">
      <alignment horizontal="center" vertical="center" wrapText="1" shrinkToFit="1"/>
    </xf>
    <xf numFmtId="0" fontId="18" fillId="11" borderId="47" xfId="0" applyFont="1" applyFill="1" applyBorder="1" applyAlignment="1" applyProtection="1">
      <alignment horizontal="center" vertical="center" wrapText="1"/>
      <protection locked="0"/>
    </xf>
    <xf numFmtId="169" fontId="22" fillId="2" borderId="0" xfId="0" applyNumberFormat="1" applyFont="1" applyFill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0" fontId="18" fillId="13" borderId="4" xfId="0" applyFont="1" applyFill="1" applyBorder="1" applyAlignment="1" applyProtection="1">
      <alignment horizontal="center" vertical="center" wrapText="1"/>
      <protection locked="0"/>
    </xf>
    <xf numFmtId="0" fontId="18" fillId="4" borderId="47" xfId="0" applyFont="1" applyFill="1" applyBorder="1" applyAlignment="1" applyProtection="1">
      <alignment horizontal="center" vertical="center" wrapText="1"/>
      <protection locked="0"/>
    </xf>
    <xf numFmtId="0" fontId="18" fillId="4" borderId="48" xfId="0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center" vertical="center" wrapText="1"/>
      <protection locked="0"/>
    </xf>
    <xf numFmtId="0" fontId="21" fillId="12" borderId="51" xfId="0" applyFont="1" applyFill="1" applyBorder="1" applyAlignment="1">
      <alignment horizontal="center" vertical="center" wrapText="1" shrinkToFit="1"/>
    </xf>
    <xf numFmtId="0" fontId="21" fillId="12" borderId="52" xfId="0" applyFont="1" applyFill="1" applyBorder="1" applyAlignment="1">
      <alignment horizontal="center" vertical="center" wrapText="1" shrinkToFit="1"/>
    </xf>
    <xf numFmtId="0" fontId="21" fillId="12" borderId="26" xfId="0" applyFont="1" applyFill="1" applyBorder="1" applyAlignment="1">
      <alignment horizontal="center" vertical="center" wrapText="1"/>
    </xf>
    <xf numFmtId="0" fontId="21" fillId="12" borderId="37" xfId="0" applyFont="1" applyFill="1" applyBorder="1" applyAlignment="1">
      <alignment horizontal="center" vertical="center" wrapText="1" shrinkToFit="1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21" fillId="12" borderId="59" xfId="0" applyFont="1" applyFill="1" applyBorder="1" applyAlignment="1">
      <alignment horizontal="center" vertical="center" wrapText="1" shrinkToFit="1"/>
    </xf>
    <xf numFmtId="0" fontId="21" fillId="12" borderId="54" xfId="0" applyFont="1" applyFill="1" applyBorder="1" applyAlignment="1">
      <alignment horizontal="center" vertical="center" wrapText="1" shrinkToFit="1"/>
    </xf>
    <xf numFmtId="0" fontId="21" fillId="12" borderId="60" xfId="0" applyFont="1" applyFill="1" applyBorder="1" applyAlignment="1">
      <alignment horizontal="center" vertical="center" wrapText="1" shrinkToFit="1"/>
    </xf>
    <xf numFmtId="0" fontId="21" fillId="12" borderId="56" xfId="0" applyFont="1" applyFill="1" applyBorder="1" applyAlignment="1">
      <alignment horizontal="center" vertical="center" wrapText="1" shrinkToFit="1"/>
    </xf>
    <xf numFmtId="0" fontId="22" fillId="4" borderId="30" xfId="0" applyFont="1" applyFill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17" fillId="12" borderId="4" xfId="0" applyFont="1" applyFill="1" applyBorder="1" applyAlignment="1">
      <alignment horizontal="left"/>
    </xf>
    <xf numFmtId="0" fontId="18" fillId="13" borderId="2" xfId="0" applyFont="1" applyFill="1" applyBorder="1" applyAlignment="1" applyProtection="1">
      <alignment horizontal="center" vertical="center" wrapText="1"/>
      <protection locked="0"/>
    </xf>
    <xf numFmtId="0" fontId="18" fillId="4" borderId="39" xfId="0" applyFont="1" applyFill="1" applyBorder="1" applyAlignment="1" applyProtection="1">
      <alignment horizontal="center" vertical="center" wrapText="1"/>
      <protection locked="0"/>
    </xf>
    <xf numFmtId="0" fontId="21" fillId="12" borderId="47" xfId="0" applyFont="1" applyFill="1" applyBorder="1" applyAlignment="1">
      <alignment horizontal="center" vertical="center" wrapText="1" shrinkToFit="1"/>
    </xf>
    <xf numFmtId="0" fontId="21" fillId="12" borderId="48" xfId="0" applyFont="1" applyFill="1" applyBorder="1" applyAlignment="1">
      <alignment horizontal="center" vertical="center" wrapText="1" shrinkToFit="1"/>
    </xf>
    <xf numFmtId="3" fontId="22" fillId="17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9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6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21" fillId="12" borderId="30" xfId="0" applyFont="1" applyFill="1" applyBorder="1" applyAlignment="1">
      <alignment horizontal="center" vertical="center" wrapText="1" shrinkToFit="1"/>
    </xf>
    <xf numFmtId="49" fontId="22" fillId="0" borderId="51" xfId="0" applyNumberFormat="1" applyFont="1" applyBorder="1" applyAlignment="1" applyProtection="1">
      <alignment horizontal="left" vertical="center" wrapText="1"/>
      <protection locked="0"/>
    </xf>
    <xf numFmtId="49" fontId="22" fillId="0" borderId="59" xfId="0" applyNumberFormat="1" applyFont="1" applyBorder="1" applyAlignment="1" applyProtection="1">
      <alignment horizontal="left" vertical="center" wrapText="1"/>
      <protection locked="0"/>
    </xf>
    <xf numFmtId="3" fontId="24" fillId="0" borderId="52" xfId="0" applyNumberFormat="1" applyFont="1" applyBorder="1" applyAlignment="1" applyProtection="1">
      <alignment vertical="center" wrapText="1"/>
      <protection locked="0"/>
    </xf>
    <xf numFmtId="0" fontId="18" fillId="13" borderId="23" xfId="0" applyFont="1" applyFill="1" applyBorder="1" applyAlignment="1" applyProtection="1">
      <alignment horizontal="center" vertical="center" wrapText="1"/>
      <protection locked="0"/>
    </xf>
    <xf numFmtId="3" fontId="24" fillId="0" borderId="25" xfId="0" applyNumberFormat="1" applyFont="1" applyBorder="1" applyAlignment="1" applyProtection="1">
      <alignment vertical="center" wrapText="1"/>
      <protection locked="0"/>
    </xf>
    <xf numFmtId="3" fontId="24" fillId="0" borderId="45" xfId="0" applyNumberFormat="1" applyFont="1" applyBorder="1" applyAlignment="1" applyProtection="1">
      <alignment vertical="center" wrapText="1"/>
      <protection locked="0"/>
    </xf>
    <xf numFmtId="0" fontId="22" fillId="0" borderId="71" xfId="0" applyFont="1" applyBorder="1" applyAlignment="1" applyProtection="1">
      <alignment vertical="center" wrapText="1"/>
      <protection locked="0"/>
    </xf>
    <xf numFmtId="0" fontId="22" fillId="4" borderId="64" xfId="0" applyFont="1" applyFill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0" fontId="21" fillId="12" borderId="24" xfId="0" applyFont="1" applyFill="1" applyBorder="1" applyAlignment="1">
      <alignment horizontal="center" vertical="center" wrapText="1" shrinkToFit="1"/>
    </xf>
    <xf numFmtId="0" fontId="21" fillId="12" borderId="25" xfId="0" applyFont="1" applyFill="1" applyBorder="1" applyAlignment="1">
      <alignment horizontal="center" vertical="center" wrapText="1" shrinkToFit="1"/>
    </xf>
    <xf numFmtId="49" fontId="25" fillId="0" borderId="45" xfId="0" applyNumberFormat="1" applyFont="1" applyBorder="1" applyAlignment="1">
      <alignment horizontal="center" vertical="center" wrapText="1" shrinkToFit="1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0" fontId="20" fillId="17" borderId="35" xfId="0" applyFont="1" applyFill="1" applyBorder="1" applyAlignment="1" applyProtection="1">
      <alignment horizontal="left" vertical="center" wrapText="1"/>
      <protection locked="0"/>
    </xf>
    <xf numFmtId="0" fontId="20" fillId="17" borderId="45" xfId="0" applyFont="1" applyFill="1" applyBorder="1" applyAlignment="1" applyProtection="1">
      <alignment horizontal="left"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0" fontId="20" fillId="0" borderId="35" xfId="0" applyFont="1" applyBorder="1" applyAlignment="1">
      <alignment vertical="center" wrapText="1"/>
    </xf>
    <xf numFmtId="0" fontId="20" fillId="0" borderId="60" xfId="0" applyFont="1" applyBorder="1" applyAlignment="1">
      <alignment vertical="center" wrapText="1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3" fontId="22" fillId="0" borderId="15" xfId="0" applyNumberFormat="1" applyFont="1" applyBorder="1" applyAlignment="1" applyProtection="1">
      <alignment vertical="center" wrapText="1"/>
      <protection locked="0"/>
    </xf>
    <xf numFmtId="3" fontId="22" fillId="0" borderId="64" xfId="0" applyNumberFormat="1" applyFont="1" applyBorder="1" applyAlignment="1" applyProtection="1">
      <alignment vertical="center" wrapText="1"/>
      <protection locked="0"/>
    </xf>
    <xf numFmtId="0" fontId="21" fillId="12" borderId="35" xfId="0" applyFont="1" applyFill="1" applyBorder="1" applyAlignment="1">
      <alignment horizontal="center" vertical="center" wrapText="1" shrinkToFit="1"/>
    </xf>
    <xf numFmtId="0" fontId="22" fillId="0" borderId="67" xfId="0" applyFont="1" applyBorder="1" applyAlignment="1" applyProtection="1">
      <alignment vertical="center" wrapText="1"/>
      <protection locked="0"/>
    </xf>
    <xf numFmtId="0" fontId="22" fillId="0" borderId="54" xfId="0" applyFont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49" fontId="22" fillId="17" borderId="15" xfId="0" applyNumberFormat="1" applyFont="1" applyFill="1" applyBorder="1" applyAlignment="1" applyProtection="1">
      <alignment horizontal="left" vertical="center" wrapText="1"/>
      <protection locked="0"/>
    </xf>
    <xf numFmtId="49" fontId="22" fillId="17" borderId="64" xfId="0" applyNumberFormat="1" applyFont="1" applyFill="1" applyBorder="1" applyAlignment="1" applyProtection="1">
      <alignment horizontal="left" vertical="center" wrapText="1"/>
      <protection locked="0"/>
    </xf>
    <xf numFmtId="0" fontId="18" fillId="13" borderId="6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49" fontId="22" fillId="0" borderId="30" xfId="0" applyNumberFormat="1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0" fontId="22" fillId="0" borderId="35" xfId="0" applyFont="1" applyBorder="1" applyAlignment="1" applyProtection="1">
      <alignment horizontal="left" vertical="center" wrapText="1"/>
      <protection locked="0"/>
    </xf>
    <xf numFmtId="0" fontId="22" fillId="0" borderId="60" xfId="0" applyFont="1" applyBorder="1" applyAlignment="1" applyProtection="1">
      <alignment horizontal="left" vertical="center" wrapText="1"/>
      <protection locked="0"/>
    </xf>
    <xf numFmtId="0" fontId="22" fillId="0" borderId="45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 wrapText="1"/>
    </xf>
    <xf numFmtId="3" fontId="22" fillId="0" borderId="21" xfId="0" applyNumberFormat="1" applyFont="1" applyBorder="1" applyAlignment="1" applyProtection="1">
      <alignment horizontal="right" vertical="center" wrapText="1"/>
      <protection locked="0"/>
    </xf>
    <xf numFmtId="3" fontId="22" fillId="0" borderId="28" xfId="0" applyNumberFormat="1" applyFont="1" applyBorder="1" applyAlignment="1" applyProtection="1">
      <alignment horizontal="right" vertical="center" wrapText="1"/>
      <protection locked="0"/>
    </xf>
    <xf numFmtId="0" fontId="22" fillId="17" borderId="41" xfId="0" applyFont="1" applyFill="1" applyBorder="1" applyAlignment="1" applyProtection="1">
      <alignment vertical="center" wrapText="1"/>
      <protection locked="0"/>
    </xf>
    <xf numFmtId="0" fontId="0" fillId="17" borderId="15" xfId="0" applyFill="1" applyBorder="1" applyAlignment="1">
      <alignment vertical="center" wrapText="1"/>
    </xf>
    <xf numFmtId="0" fontId="0" fillId="17" borderId="64" xfId="0" applyFill="1" applyBorder="1" applyAlignment="1">
      <alignment vertical="center" wrapText="1"/>
    </xf>
    <xf numFmtId="0" fontId="46" fillId="2" borderId="0" xfId="0" applyFont="1" applyFill="1" applyAlignment="1">
      <alignment horizontal="right"/>
    </xf>
    <xf numFmtId="0" fontId="35" fillId="7" borderId="0" xfId="0" applyFont="1" applyFill="1" applyAlignment="1">
      <alignment horizontal="center"/>
    </xf>
    <xf numFmtId="0" fontId="22" fillId="0" borderId="24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3" fontId="50" fillId="0" borderId="31" xfId="0" applyNumberFormat="1" applyFont="1" applyBorder="1" applyAlignment="1" applyProtection="1">
      <alignment vertical="center" wrapText="1"/>
      <protection locked="0"/>
    </xf>
    <xf numFmtId="3" fontId="50" fillId="0" borderId="0" xfId="0" applyNumberFormat="1" applyFont="1" applyAlignment="1" applyProtection="1">
      <alignment vertical="center" wrapText="1"/>
      <protection locked="0"/>
    </xf>
    <xf numFmtId="0" fontId="51" fillId="0" borderId="0" xfId="0" applyFont="1"/>
    <xf numFmtId="0" fontId="22" fillId="0" borderId="58" xfId="0" applyFont="1" applyBorder="1" applyAlignment="1" applyProtection="1">
      <alignment vertical="center" wrapText="1"/>
      <protection locked="0"/>
    </xf>
    <xf numFmtId="0" fontId="22" fillId="0" borderId="72" xfId="0" applyFont="1" applyBorder="1" applyAlignment="1" applyProtection="1">
      <alignment vertical="center" wrapText="1"/>
      <protection locked="0"/>
    </xf>
    <xf numFmtId="0" fontId="0" fillId="0" borderId="71" xfId="0" applyBorder="1" applyAlignment="1">
      <alignment vertical="center" wrapText="1"/>
    </xf>
    <xf numFmtId="0" fontId="22" fillId="0" borderId="30" xfId="0" applyFont="1" applyBorder="1" applyAlignment="1" applyProtection="1">
      <alignment vertical="center" wrapText="1"/>
      <protection locked="0"/>
    </xf>
    <xf numFmtId="49" fontId="20" fillId="0" borderId="59" xfId="0" applyNumberFormat="1" applyFont="1" applyBorder="1" applyAlignment="1">
      <alignment vertical="center" wrapText="1"/>
    </xf>
    <xf numFmtId="0" fontId="20" fillId="0" borderId="59" xfId="0" applyFont="1" applyBorder="1" applyAlignment="1">
      <alignment vertical="center" wrapText="1"/>
    </xf>
    <xf numFmtId="0" fontId="20" fillId="0" borderId="54" xfId="0" applyFont="1" applyBorder="1" applyAlignment="1">
      <alignment vertical="center" wrapText="1"/>
    </xf>
    <xf numFmtId="0" fontId="22" fillId="17" borderId="30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horizontal="left" vertical="center" wrapText="1"/>
      <protection locked="0"/>
    </xf>
    <xf numFmtId="0" fontId="18" fillId="4" borderId="47" xfId="0" applyFont="1" applyFill="1" applyBorder="1" applyAlignment="1" applyProtection="1">
      <alignment vertical="center" wrapText="1"/>
      <protection locked="0"/>
    </xf>
    <xf numFmtId="49" fontId="22" fillId="0" borderId="23" xfId="0" applyNumberFormat="1" applyFont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horizontal="left" vertical="center" wrapText="1"/>
      <protection locked="0"/>
    </xf>
    <xf numFmtId="49" fontId="22" fillId="0" borderId="16" xfId="0" applyNumberFormat="1" applyFont="1" applyBorder="1" applyAlignment="1" applyProtection="1">
      <alignment horizontal="left" vertical="center" wrapText="1"/>
      <protection locked="0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18" fillId="4" borderId="19" xfId="0" applyFont="1" applyFill="1" applyBorder="1" applyAlignment="1" applyProtection="1">
      <alignment horizontal="left" vertical="center" wrapText="1"/>
      <protection locked="0"/>
    </xf>
    <xf numFmtId="0" fontId="17" fillId="13" borderId="2" xfId="0" applyFont="1" applyFill="1" applyBorder="1" applyAlignment="1">
      <alignment horizontal="left"/>
    </xf>
    <xf numFmtId="0" fontId="17" fillId="13" borderId="4" xfId="0" applyFont="1" applyFill="1" applyBorder="1" applyAlignment="1">
      <alignment horizontal="left"/>
    </xf>
    <xf numFmtId="0" fontId="18" fillId="4" borderId="73" xfId="0" applyFont="1" applyFill="1" applyBorder="1" applyAlignment="1" applyProtection="1">
      <alignment horizontal="left" vertical="center" wrapText="1"/>
      <protection locked="0"/>
    </xf>
    <xf numFmtId="0" fontId="17" fillId="15" borderId="0" xfId="0" applyFont="1" applyFill="1" applyAlignment="1">
      <alignment horizontal="center"/>
    </xf>
    <xf numFmtId="0" fontId="17" fillId="13" borderId="23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7" fillId="13" borderId="73" xfId="0" applyFont="1" applyFill="1" applyBorder="1" applyAlignment="1">
      <alignment horizontal="center"/>
    </xf>
    <xf numFmtId="0" fontId="17" fillId="13" borderId="7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3" fillId="16" borderId="47" xfId="0" applyFont="1" applyFill="1" applyBorder="1" applyAlignment="1">
      <alignment horizontal="center"/>
    </xf>
    <xf numFmtId="0" fontId="0" fillId="0" borderId="48" xfId="0" applyBorder="1"/>
    <xf numFmtId="0" fontId="0" fillId="0" borderId="8" xfId="0" applyBorder="1"/>
    <xf numFmtId="0" fontId="53" fillId="16" borderId="47" xfId="0" applyFont="1" applyFill="1" applyBorder="1"/>
    <xf numFmtId="0" fontId="0" fillId="16" borderId="8" xfId="0" applyFill="1" applyBorder="1"/>
  </cellXfs>
  <cellStyles count="4">
    <cellStyle name="Ezres" xfId="1" builtinId="3"/>
    <cellStyle name="Normál" xfId="0" builtinId="0"/>
    <cellStyle name="Pénznem" xfId="2" builtinId="4"/>
    <cellStyle name="Százalék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C00000"/>
      <rgbColor rgb="FF008000"/>
      <rgbColor rgb="FF000080"/>
      <rgbColor rgb="FF808000"/>
      <rgbColor rgb="FF800080"/>
      <rgbColor rgb="FF008080"/>
      <rgbColor rgb="FFF8CBAD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AC090"/>
      <rgbColor rgb="FFCC99FF"/>
      <rgbColor rgb="FFFFCC99"/>
      <rgbColor rgb="FF3366FF"/>
      <rgbColor rgb="FF33CCCC"/>
      <rgbColor rgb="FF99CC00"/>
      <rgbColor rgb="FFFFF2CC"/>
      <rgbColor rgb="FFFF9900"/>
      <rgbColor rgb="FFFF6600"/>
      <rgbColor rgb="FF666699"/>
      <rgbColor rgb="FF969696"/>
      <rgbColor rgb="FF203864"/>
      <rgbColor rgb="FF339966"/>
      <rgbColor rgb="FF003300"/>
      <rgbColor rgb="FF385724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  <pageSetUpPr fitToPage="1"/>
  </sheetPr>
  <dimension ref="A1:R44"/>
  <sheetViews>
    <sheetView zoomScale="91" zoomScaleNormal="91" workbookViewId="0">
      <selection activeCell="Q21" sqref="Q21"/>
    </sheetView>
  </sheetViews>
  <sheetFormatPr defaultRowHeight="12.75" x14ac:dyDescent="0.2"/>
  <cols>
    <col min="1" max="1" width="7.140625" customWidth="1"/>
    <col min="2" max="2" width="33.42578125" customWidth="1"/>
    <col min="3" max="3" width="13.140625" customWidth="1"/>
    <col min="4" max="4" width="12.7109375" bestFit="1" customWidth="1"/>
    <col min="5" max="5" width="9" customWidth="1"/>
    <col min="6" max="6" width="13.7109375" customWidth="1"/>
    <col min="7" max="7" width="9.85546875" customWidth="1"/>
    <col min="8" max="8" width="30.28515625" customWidth="1"/>
    <col min="9" max="10" width="12.42578125" customWidth="1"/>
    <col min="11" max="11" width="8.7109375" customWidth="1"/>
    <col min="12" max="12" width="13.28515625" customWidth="1"/>
    <col min="13" max="1025" width="8.42578125" customWidth="1"/>
  </cols>
  <sheetData>
    <row r="1" spans="1:13" ht="22.5" x14ac:dyDescent="0.6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</row>
    <row r="2" spans="1:13" ht="22.5" x14ac:dyDescent="0.6">
      <c r="A2" s="1"/>
      <c r="B2" s="775" t="s">
        <v>680</v>
      </c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1"/>
    </row>
    <row r="3" spans="1:13" ht="22.5" x14ac:dyDescent="0.6">
      <c r="A3" s="1"/>
      <c r="B3" s="775" t="s">
        <v>390</v>
      </c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1"/>
    </row>
    <row r="4" spans="1:13" ht="22.5" x14ac:dyDescent="0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2.5" x14ac:dyDescent="0.6">
      <c r="A5" s="776" t="s">
        <v>0</v>
      </c>
      <c r="B5" s="776"/>
      <c r="C5" s="776"/>
      <c r="D5" s="776"/>
      <c r="E5" s="776"/>
      <c r="F5" s="776"/>
      <c r="G5" s="776"/>
      <c r="H5" s="776"/>
      <c r="I5" s="776"/>
      <c r="J5" s="776"/>
      <c r="K5" s="776"/>
      <c r="L5" s="776"/>
      <c r="M5" s="1"/>
    </row>
    <row r="6" spans="1:13" ht="23.25" thickBot="1" x14ac:dyDescent="0.6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4" t="s">
        <v>1</v>
      </c>
      <c r="M6" s="1"/>
    </row>
    <row r="7" spans="1:13" ht="23.25" thickBot="1" x14ac:dyDescent="0.65">
      <c r="A7" s="777" t="s">
        <v>2</v>
      </c>
      <c r="B7" s="777"/>
      <c r="C7" s="777"/>
      <c r="D7" s="777"/>
      <c r="E7" s="777"/>
      <c r="F7" s="777"/>
      <c r="G7" s="778" t="s">
        <v>3</v>
      </c>
      <c r="H7" s="778"/>
      <c r="I7" s="778"/>
      <c r="J7" s="778"/>
      <c r="K7" s="778"/>
      <c r="L7" s="778"/>
      <c r="M7" s="1"/>
    </row>
    <row r="8" spans="1:13" ht="39" customHeight="1" thickBot="1" x14ac:dyDescent="0.65">
      <c r="A8" s="5" t="s">
        <v>4</v>
      </c>
      <c r="B8" s="6" t="s">
        <v>5</v>
      </c>
      <c r="C8" s="7" t="s">
        <v>616</v>
      </c>
      <c r="D8" s="7" t="s">
        <v>509</v>
      </c>
      <c r="E8" s="7" t="s">
        <v>384</v>
      </c>
      <c r="F8" s="8" t="s">
        <v>681</v>
      </c>
      <c r="G8" s="9" t="s">
        <v>4</v>
      </c>
      <c r="H8" s="10" t="s">
        <v>5</v>
      </c>
      <c r="I8" s="11" t="s">
        <v>616</v>
      </c>
      <c r="J8" s="12" t="s">
        <v>509</v>
      </c>
      <c r="K8" s="12" t="s">
        <v>384</v>
      </c>
      <c r="L8" s="13" t="s">
        <v>681</v>
      </c>
      <c r="M8" s="1"/>
    </row>
    <row r="9" spans="1:13" ht="22.5" x14ac:dyDescent="0.6">
      <c r="A9" s="14" t="s">
        <v>6</v>
      </c>
      <c r="B9" s="15" t="s">
        <v>7</v>
      </c>
      <c r="C9" s="16">
        <f>'Bevételek(önkormányzat 2023'!C14</f>
        <v>206450013</v>
      </c>
      <c r="D9" s="611">
        <f>F9-C9</f>
        <v>37564780</v>
      </c>
      <c r="E9" s="597">
        <f>F9/C9</f>
        <v>1.1819558131972605</v>
      </c>
      <c r="F9" s="37">
        <f>'Bevételek(önkormányzat 2023'!F14</f>
        <v>244014793</v>
      </c>
      <c r="G9" s="17" t="s">
        <v>8</v>
      </c>
      <c r="H9" s="18" t="s">
        <v>9</v>
      </c>
      <c r="I9" s="606">
        <f>'Kiadások(önkormányzat 2023)'!C20</f>
        <v>49117820</v>
      </c>
      <c r="J9" s="606">
        <f t="shared" ref="J9:J14" si="0">SUM(L9-I9)</f>
        <v>-2163470</v>
      </c>
      <c r="K9" s="295">
        <f>L9/I9</f>
        <v>0.95595346047524099</v>
      </c>
      <c r="L9" s="20">
        <f>'Kiadások(önkormányzat 2023)'!F20</f>
        <v>46954350</v>
      </c>
      <c r="M9" s="1"/>
    </row>
    <row r="10" spans="1:13" ht="22.5" x14ac:dyDescent="0.6">
      <c r="A10" s="21" t="s">
        <v>10</v>
      </c>
      <c r="B10" s="22" t="s">
        <v>11</v>
      </c>
      <c r="C10" s="261">
        <f>'Bevételek(önkormányzat 2023'!C17</f>
        <v>11172400</v>
      </c>
      <c r="D10" s="497">
        <f>F10-C10</f>
        <v>-3236200</v>
      </c>
      <c r="E10" s="596">
        <f>F10/C10</f>
        <v>0.71033976585156278</v>
      </c>
      <c r="F10" s="19">
        <f>'Bevételek(önkormányzat 2023'!F17</f>
        <v>7936200</v>
      </c>
      <c r="G10" s="23" t="s">
        <v>12</v>
      </c>
      <c r="H10" s="24" t="s">
        <v>13</v>
      </c>
      <c r="I10" s="494">
        <f>'Kiadások(önkormányzat 2023)'!C22</f>
        <v>6812000</v>
      </c>
      <c r="J10" s="494">
        <f t="shared" si="0"/>
        <v>-247000</v>
      </c>
      <c r="K10" s="295">
        <f t="shared" ref="K10:K18" si="1">L10/I10</f>
        <v>0.9637404580152672</v>
      </c>
      <c r="L10" s="20">
        <f>'Kiadások(önkormányzat 2023)'!F22</f>
        <v>6565000</v>
      </c>
      <c r="M10" s="1"/>
    </row>
    <row r="11" spans="1:13" ht="22.5" x14ac:dyDescent="0.6">
      <c r="A11" s="21" t="s">
        <v>14</v>
      </c>
      <c r="B11" s="22" t="s">
        <v>15</v>
      </c>
      <c r="C11" s="261">
        <f>'Bevételek(önkormányzat 2023'!C20</f>
        <v>0</v>
      </c>
      <c r="D11" s="494">
        <f>F11-C11</f>
        <v>0</v>
      </c>
      <c r="E11" s="596">
        <v>0</v>
      </c>
      <c r="F11" s="19">
        <f>'Bevételek(önkormányzat 2023'!F20</f>
        <v>0</v>
      </c>
      <c r="G11" s="23" t="s">
        <v>16</v>
      </c>
      <c r="H11" s="24" t="s">
        <v>17</v>
      </c>
      <c r="I11" s="494">
        <f>'Kiadások(önkormányzat 2023)'!C51</f>
        <v>67361800</v>
      </c>
      <c r="J11" s="494">
        <f t="shared" si="0"/>
        <v>22109440</v>
      </c>
      <c r="K11" s="295">
        <f t="shared" si="1"/>
        <v>1.3282192577989305</v>
      </c>
      <c r="L11" s="20">
        <f>'Kiadások(önkormányzat 2023)'!F51</f>
        <v>89471240</v>
      </c>
      <c r="M11" s="1"/>
    </row>
    <row r="12" spans="1:13" ht="22.5" x14ac:dyDescent="0.6">
      <c r="A12" s="21" t="s">
        <v>18</v>
      </c>
      <c r="B12" s="22" t="s">
        <v>19</v>
      </c>
      <c r="C12" s="261">
        <f>'Bevételek(önkormányzat 2023'!C30</f>
        <v>50900000</v>
      </c>
      <c r="D12" s="494">
        <f>F12-C12</f>
        <v>11600000</v>
      </c>
      <c r="E12" s="596">
        <f>F12/C12</f>
        <v>1.2278978388998036</v>
      </c>
      <c r="F12" s="19">
        <f>'Bevételek(önkormányzat 2023'!F30</f>
        <v>62500000</v>
      </c>
      <c r="G12" s="23" t="s">
        <v>20</v>
      </c>
      <c r="H12" s="24" t="s">
        <v>21</v>
      </c>
      <c r="I12" s="494">
        <f>'Kiadások(önkormányzat 2023)'!C59</f>
        <v>11800000</v>
      </c>
      <c r="J12" s="494">
        <f t="shared" si="0"/>
        <v>0</v>
      </c>
      <c r="K12" s="295">
        <f t="shared" si="1"/>
        <v>1</v>
      </c>
      <c r="L12" s="20">
        <f>'Kiadások(önkormányzat 2023)'!F59</f>
        <v>11800000</v>
      </c>
      <c r="M12" s="1"/>
    </row>
    <row r="13" spans="1:13" ht="22.5" x14ac:dyDescent="0.6">
      <c r="A13" s="21" t="s">
        <v>22</v>
      </c>
      <c r="B13" s="22" t="s">
        <v>23</v>
      </c>
      <c r="C13" s="261">
        <f>'Bevételek(önkormányzat 2023'!C40</f>
        <v>17271000</v>
      </c>
      <c r="D13" s="612">
        <f>F13-C13</f>
        <v>954660</v>
      </c>
      <c r="E13" s="596">
        <f>F13/C13</f>
        <v>1.0552753170053848</v>
      </c>
      <c r="F13" s="19">
        <f>'Bevételek(önkormányzat 2023'!F40</f>
        <v>18225660</v>
      </c>
      <c r="G13" s="23" t="s">
        <v>24</v>
      </c>
      <c r="H13" s="24" t="s">
        <v>25</v>
      </c>
      <c r="I13" s="494">
        <f>'Kiadások(önkormányzat 2023)'!C65</f>
        <v>16330000</v>
      </c>
      <c r="J13" s="494">
        <f t="shared" si="0"/>
        <v>4509700</v>
      </c>
      <c r="K13" s="295">
        <f t="shared" si="1"/>
        <v>1.2761604409063074</v>
      </c>
      <c r="L13" s="20">
        <f>'Kiadások(önkormányzat 2023)'!F65</f>
        <v>20839700</v>
      </c>
      <c r="M13" s="1"/>
    </row>
    <row r="14" spans="1:13" ht="23.25" thickBot="1" x14ac:dyDescent="0.65">
      <c r="A14" s="25"/>
      <c r="B14" s="26"/>
      <c r="C14" s="604"/>
      <c r="D14" s="265"/>
      <c r="E14" s="746"/>
      <c r="F14" s="29"/>
      <c r="G14" s="27" t="s">
        <v>28</v>
      </c>
      <c r="H14" s="28" t="s">
        <v>29</v>
      </c>
      <c r="I14" s="607">
        <f>'Kiadások(önkormányzat 2023)'!C77</f>
        <v>187585884</v>
      </c>
      <c r="J14" s="607">
        <f t="shared" si="0"/>
        <v>33723377</v>
      </c>
      <c r="K14" s="295">
        <f t="shared" si="1"/>
        <v>1.1797756647829643</v>
      </c>
      <c r="L14" s="30">
        <f>'Kiadások(önkormányzat 2023)'!F77</f>
        <v>221309261</v>
      </c>
      <c r="M14" s="1"/>
    </row>
    <row r="15" spans="1:13" ht="23.25" thickBot="1" x14ac:dyDescent="0.65">
      <c r="A15" s="31"/>
      <c r="B15" s="747" t="s">
        <v>379</v>
      </c>
      <c r="C15" s="405">
        <f>SUM(C9:C14)</f>
        <v>285793413</v>
      </c>
      <c r="D15" s="405">
        <f>SUM(D9:D14)</f>
        <v>46883240</v>
      </c>
      <c r="E15" s="744">
        <f>F15/C15</f>
        <v>1.1640459082239241</v>
      </c>
      <c r="F15" s="748">
        <f>SUM(F9:F14)</f>
        <v>332676653</v>
      </c>
      <c r="G15" s="32"/>
      <c r="H15" s="33" t="s">
        <v>30</v>
      </c>
      <c r="I15" s="405">
        <f>SUM(I9:I14)</f>
        <v>339007504</v>
      </c>
      <c r="J15" s="405">
        <f>SUM(J9:J14)</f>
        <v>57932047</v>
      </c>
      <c r="K15" s="744">
        <f t="shared" si="1"/>
        <v>1.1708872113934092</v>
      </c>
      <c r="L15" s="748">
        <f>SUM(L9:L14)</f>
        <v>396939551</v>
      </c>
      <c r="M15" s="1"/>
    </row>
    <row r="16" spans="1:13" ht="22.5" x14ac:dyDescent="0.6">
      <c r="A16" s="35" t="s">
        <v>26</v>
      </c>
      <c r="B16" s="303" t="s">
        <v>27</v>
      </c>
      <c r="C16" s="601">
        <f>'Bevételek(önkormányzat 2023'!C47</f>
        <v>28878690</v>
      </c>
      <c r="D16" s="606">
        <f>F16-C16</f>
        <v>-24964750</v>
      </c>
      <c r="E16" s="598">
        <f>F16/C16</f>
        <v>0.13553038590046848</v>
      </c>
      <c r="F16" s="302">
        <f>'Bevételek(önkormányzat 2023'!F47</f>
        <v>3913940</v>
      </c>
      <c r="G16" s="36" t="s">
        <v>33</v>
      </c>
      <c r="H16" s="18" t="s">
        <v>34</v>
      </c>
      <c r="I16" s="606">
        <f>'Kiadások(önkormányzat 2023)'!C74</f>
        <v>19506849</v>
      </c>
      <c r="J16" s="603">
        <f t="shared" ref="J16:J21" si="2">SUM(L16-I16)</f>
        <v>-8292849</v>
      </c>
      <c r="K16" s="296">
        <f t="shared" si="1"/>
        <v>0.5748750092852003</v>
      </c>
      <c r="L16" s="38">
        <f>'Kiadások(önkormányzat 2023)'!F74</f>
        <v>11214000</v>
      </c>
      <c r="M16" s="1"/>
    </row>
    <row r="17" spans="1:18" ht="22.5" x14ac:dyDescent="0.6">
      <c r="A17" s="280" t="s">
        <v>31</v>
      </c>
      <c r="B17" s="304" t="s">
        <v>32</v>
      </c>
      <c r="C17" s="261">
        <f>'Bevételek(önkormányzat 2023'!C48</f>
        <v>251028561</v>
      </c>
      <c r="D17" s="608">
        <f>F17-C17</f>
        <v>79932584</v>
      </c>
      <c r="E17" s="599">
        <f>F17/C17</f>
        <v>1.3184202772847031</v>
      </c>
      <c r="F17" s="19">
        <f>'Bevételek(önkormányzat 2023'!F48</f>
        <v>330961145</v>
      </c>
      <c r="G17" s="771" t="s">
        <v>35</v>
      </c>
      <c r="H17" s="24" t="s">
        <v>36</v>
      </c>
      <c r="I17" s="494">
        <f>'Kiadások(önkormányzat 2023)'!C79</f>
        <v>195696849</v>
      </c>
      <c r="J17" s="608">
        <f t="shared" si="2"/>
        <v>36929529</v>
      </c>
      <c r="K17" s="296">
        <f t="shared" si="1"/>
        <v>1.188707836578401</v>
      </c>
      <c r="L17" s="20">
        <f>'Kiadások(önkormányzat 2023)'!F79</f>
        <v>232626378</v>
      </c>
      <c r="M17" s="1"/>
      <c r="N17" s="39"/>
      <c r="O17" s="39"/>
    </row>
    <row r="18" spans="1:18" ht="22.5" x14ac:dyDescent="0.6">
      <c r="A18" s="280" t="s">
        <v>381</v>
      </c>
      <c r="B18" s="304" t="s">
        <v>383</v>
      </c>
      <c r="C18" s="261">
        <f>'Bevételek(önkormányzat 2023'!C49</f>
        <v>6000000</v>
      </c>
      <c r="D18" s="307">
        <f>'Bevételek(önkormányzat 2023'!D49</f>
        <v>-6000000</v>
      </c>
      <c r="E18" s="599"/>
      <c r="F18" s="19">
        <f>'Bevételek(önkormányzat 2023'!F49</f>
        <v>0</v>
      </c>
      <c r="G18" s="771"/>
      <c r="H18" s="24" t="s">
        <v>37</v>
      </c>
      <c r="I18" s="494">
        <f>'Kiadások(önkormányzat 2023)'!C78</f>
        <v>9749307</v>
      </c>
      <c r="J18" s="608">
        <f t="shared" si="2"/>
        <v>7271616</v>
      </c>
      <c r="K18" s="296">
        <f t="shared" si="1"/>
        <v>1.7458597826491669</v>
      </c>
      <c r="L18" s="20">
        <f>'Kiadások(önkormányzat 2023)'!F78</f>
        <v>17020923</v>
      </c>
      <c r="M18" s="1"/>
    </row>
    <row r="19" spans="1:18" ht="22.5" x14ac:dyDescent="0.6">
      <c r="A19" s="280" t="s">
        <v>388</v>
      </c>
      <c r="B19" s="304" t="s">
        <v>389</v>
      </c>
      <c r="C19" s="261">
        <f>'Bevételek(önkormányzat 2023'!C45</f>
        <v>0</v>
      </c>
      <c r="D19" s="307">
        <f>'Bevételek(önkormányzat 2023'!D45</f>
        <v>0</v>
      </c>
      <c r="E19" s="600"/>
      <c r="F19" s="19">
        <f>'Bevételek(önkormányzat 2023'!F45</f>
        <v>0</v>
      </c>
      <c r="G19" s="771"/>
      <c r="H19" s="40" t="s">
        <v>38</v>
      </c>
      <c r="I19" s="610">
        <f>'Kiadások(önkormányzat 2023)'!C80</f>
        <v>0</v>
      </c>
      <c r="J19" s="608">
        <f t="shared" si="2"/>
        <v>0</v>
      </c>
      <c r="K19" s="296"/>
      <c r="L19" s="41">
        <f>'Kiadások(önkormányzat 2023)'!F80</f>
        <v>0</v>
      </c>
      <c r="M19" s="1"/>
    </row>
    <row r="20" spans="1:18" ht="23.25" thickBot="1" x14ac:dyDescent="0.65">
      <c r="A20" s="42"/>
      <c r="B20" s="305"/>
      <c r="C20" s="604"/>
      <c r="D20" s="308"/>
      <c r="E20" s="600"/>
      <c r="F20" s="29"/>
      <c r="G20" s="43" t="s">
        <v>39</v>
      </c>
      <c r="H20" s="28" t="s">
        <v>40</v>
      </c>
      <c r="I20" s="607">
        <f>'Kiadások(önkormányzat 2023)'!C75</f>
        <v>0</v>
      </c>
      <c r="J20" s="609">
        <f t="shared" si="2"/>
        <v>0</v>
      </c>
      <c r="K20" s="296"/>
      <c r="L20" s="29">
        <f>'Kiadások(önkormányzat 2023)'!F75</f>
        <v>0</v>
      </c>
      <c r="M20" s="1"/>
    </row>
    <row r="21" spans="1:18" ht="23.25" thickBot="1" x14ac:dyDescent="0.65">
      <c r="A21" s="44"/>
      <c r="B21" s="306"/>
      <c r="C21" s="605"/>
      <c r="D21" s="309"/>
      <c r="E21" s="602"/>
      <c r="F21" s="595"/>
      <c r="G21" s="45" t="s">
        <v>41</v>
      </c>
      <c r="H21" s="403" t="s">
        <v>42</v>
      </c>
      <c r="I21" s="34">
        <f>'Kiadások(önkormányzat 2023)'!C76</f>
        <v>7740155</v>
      </c>
      <c r="J21" s="34">
        <f t="shared" si="2"/>
        <v>2010731</v>
      </c>
      <c r="K21" s="594">
        <f>L21/I21</f>
        <v>1.2597791646291321</v>
      </c>
      <c r="L21" s="34">
        <f>'Kiadások(önkormányzat 2023)'!F76</f>
        <v>9750886</v>
      </c>
      <c r="M21" s="1"/>
    </row>
    <row r="22" spans="1:18" ht="23.25" thickBot="1" x14ac:dyDescent="0.65">
      <c r="A22" s="772" t="s">
        <v>43</v>
      </c>
      <c r="B22" s="773"/>
      <c r="C22" s="404">
        <f>SUM(C15:C21)</f>
        <v>571700664</v>
      </c>
      <c r="D22" s="404">
        <f>SUM(D15:D18)</f>
        <v>95851074</v>
      </c>
      <c r="E22" s="743">
        <f>F22/C22</f>
        <v>1.1676595463950694</v>
      </c>
      <c r="F22" s="745">
        <f>SUM(F15:F21)</f>
        <v>667551738</v>
      </c>
      <c r="G22" s="774" t="s">
        <v>43</v>
      </c>
      <c r="H22" s="774"/>
      <c r="I22" s="404">
        <f>SUM(I15:I21)</f>
        <v>571700664</v>
      </c>
      <c r="J22" s="404">
        <f>SUM(J15:J21)</f>
        <v>95851074</v>
      </c>
      <c r="K22" s="744">
        <f>L22/I22</f>
        <v>1.1676595463950694</v>
      </c>
      <c r="L22" s="405">
        <f>SUM(L15:L21)</f>
        <v>667551738</v>
      </c>
      <c r="M22" s="1"/>
      <c r="Q22" s="46"/>
      <c r="R22" s="46"/>
    </row>
    <row r="23" spans="1:18" ht="22.5" x14ac:dyDescent="0.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Q23" s="46"/>
      <c r="R23" s="46"/>
    </row>
    <row r="24" spans="1:18" ht="22.5" x14ac:dyDescent="0.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Q24" s="46"/>
      <c r="R24" s="46"/>
    </row>
    <row r="25" spans="1:18" ht="22.5" x14ac:dyDescent="0.6">
      <c r="A25" s="1"/>
      <c r="B25" s="277"/>
      <c r="C25" s="277"/>
      <c r="D25" s="277"/>
      <c r="E25" s="1"/>
      <c r="F25" s="1"/>
      <c r="G25" s="1"/>
      <c r="H25" s="1"/>
      <c r="I25" s="1"/>
      <c r="J25" s="1"/>
      <c r="K25" s="1"/>
      <c r="L25" s="1"/>
      <c r="M25" s="1"/>
      <c r="Q25" s="46"/>
      <c r="R25" s="46"/>
    </row>
    <row r="26" spans="1:18" ht="22.5" x14ac:dyDescent="0.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8" ht="22.5" x14ac:dyDescent="0.6">
      <c r="A27" s="1"/>
      <c r="B27" s="1"/>
      <c r="C27" s="1"/>
      <c r="D27" s="1"/>
      <c r="E27" s="1"/>
      <c r="F27" s="277">
        <f>F22-L22</f>
        <v>0</v>
      </c>
      <c r="G27" s="1"/>
      <c r="H27" s="1"/>
      <c r="I27" s="1"/>
      <c r="J27" s="1"/>
      <c r="K27" s="1"/>
      <c r="L27" s="1"/>
      <c r="M27" s="1"/>
    </row>
    <row r="33" spans="1:13" ht="22.5" x14ac:dyDescent="0.6">
      <c r="A33" s="47"/>
      <c r="B33" s="1"/>
      <c r="C33" s="1"/>
      <c r="D33" s="46"/>
      <c r="E33" s="46"/>
      <c r="F33" s="46"/>
    </row>
    <row r="34" spans="1:13" ht="22.5" x14ac:dyDescent="0.6">
      <c r="A34" s="47"/>
      <c r="B34" s="1"/>
      <c r="C34" s="1"/>
      <c r="D34" s="46"/>
      <c r="E34" s="46"/>
      <c r="F34" s="46"/>
    </row>
    <row r="35" spans="1:13" ht="22.5" x14ac:dyDescent="0.6">
      <c r="A35" s="47"/>
      <c r="B35" s="1"/>
      <c r="C35" s="1"/>
      <c r="D35" s="46"/>
      <c r="E35" s="46"/>
      <c r="F35" s="46"/>
    </row>
    <row r="36" spans="1:13" ht="22.5" x14ac:dyDescent="0.6">
      <c r="A36" s="47"/>
      <c r="B36" s="1"/>
      <c r="C36" s="1"/>
      <c r="D36" s="46"/>
      <c r="E36" s="46"/>
      <c r="F36" s="46"/>
    </row>
    <row r="37" spans="1:13" ht="22.5" x14ac:dyDescent="0.6">
      <c r="A37" s="47"/>
      <c r="B37" s="1"/>
      <c r="C37" s="1"/>
      <c r="D37" s="46"/>
      <c r="E37" s="46"/>
      <c r="F37" s="46"/>
    </row>
    <row r="38" spans="1:13" ht="22.5" x14ac:dyDescent="0.6">
      <c r="A38" s="47"/>
      <c r="B38" s="1"/>
      <c r="C38" s="1"/>
      <c r="D38" s="46"/>
      <c r="E38" s="46"/>
      <c r="F38" s="46"/>
    </row>
    <row r="39" spans="1:13" ht="22.5" x14ac:dyDescent="0.6">
      <c r="A39" s="47"/>
      <c r="B39" s="1"/>
      <c r="C39" s="1"/>
      <c r="D39" s="46"/>
      <c r="E39" s="46"/>
      <c r="F39" s="46"/>
      <c r="H39" s="47"/>
      <c r="I39" s="47"/>
      <c r="J39" s="1"/>
      <c r="K39" s="1"/>
      <c r="L39" s="46"/>
      <c r="M39" s="46"/>
    </row>
    <row r="40" spans="1:13" ht="22.5" x14ac:dyDescent="0.6">
      <c r="A40" s="47"/>
      <c r="B40" s="1"/>
      <c r="C40" s="1"/>
      <c r="D40" s="46"/>
      <c r="E40" s="46"/>
      <c r="F40" s="46"/>
      <c r="H40" s="47"/>
      <c r="I40" s="47"/>
      <c r="J40" s="1"/>
      <c r="K40" s="1"/>
      <c r="L40" s="46"/>
      <c r="M40" s="46"/>
    </row>
    <row r="41" spans="1:13" ht="22.5" x14ac:dyDescent="0.6">
      <c r="A41" s="47"/>
      <c r="B41" s="1"/>
      <c r="C41" s="1"/>
      <c r="D41" s="46"/>
      <c r="E41" s="46"/>
      <c r="F41" s="46"/>
      <c r="H41" s="47"/>
      <c r="I41" s="47"/>
      <c r="J41" s="1"/>
      <c r="K41" s="1"/>
      <c r="L41" s="46"/>
      <c r="M41" s="46"/>
    </row>
    <row r="42" spans="1:13" ht="22.5" x14ac:dyDescent="0.6">
      <c r="A42" s="47"/>
      <c r="B42" s="1"/>
      <c r="C42" s="1"/>
      <c r="D42" s="46"/>
      <c r="E42" s="46"/>
      <c r="F42" s="46"/>
      <c r="H42" s="47"/>
      <c r="I42" s="47"/>
      <c r="J42" s="1"/>
      <c r="K42" s="1"/>
      <c r="L42" s="46"/>
      <c r="M42" s="46"/>
    </row>
    <row r="43" spans="1:13" ht="22.5" x14ac:dyDescent="0.6">
      <c r="A43" s="47"/>
      <c r="B43" s="1"/>
      <c r="C43" s="1"/>
      <c r="D43" s="46"/>
      <c r="E43" s="46"/>
      <c r="F43" s="46"/>
      <c r="H43" s="47"/>
      <c r="I43" s="47"/>
      <c r="J43" s="1"/>
      <c r="K43" s="1"/>
      <c r="L43" s="46"/>
      <c r="M43" s="46"/>
    </row>
    <row r="44" spans="1:13" ht="22.5" x14ac:dyDescent="0.6">
      <c r="A44" s="47"/>
      <c r="B44" s="1"/>
      <c r="C44" s="1"/>
      <c r="D44" s="46"/>
      <c r="E44" s="46"/>
      <c r="F44" s="46"/>
      <c r="H44" s="47"/>
      <c r="I44" s="47"/>
      <c r="J44" s="1"/>
      <c r="K44" s="1"/>
      <c r="L44" s="46"/>
      <c r="M44" s="46"/>
    </row>
  </sheetData>
  <sheetProtection algorithmName="SHA-512" hashValue="XUBtoAXOgUE4KL5hzEQfl0ICoHuo6p1YV4IebNB3tr5/5A1mMnDFetMkeN8ACWZ5b5UYMj9+aZhJ5VNsv1fHqA==" saltValue="zZgVSqyL5D4keIRW/+FBWQ==" spinCount="100000" sheet="1" objects="1" scenarios="1"/>
  <mergeCells count="8">
    <mergeCell ref="G17:G19"/>
    <mergeCell ref="A22:B22"/>
    <mergeCell ref="G22:H22"/>
    <mergeCell ref="B2:L2"/>
    <mergeCell ref="B3:L3"/>
    <mergeCell ref="A5:L5"/>
    <mergeCell ref="A7:F7"/>
    <mergeCell ref="G7:L7"/>
  </mergeCells>
  <pageMargins left="0.74803149606299213" right="0.74803149606299213" top="0.98425196850393704" bottom="0.98425196850393704" header="0.51181102362204722" footer="0.51181102362204722"/>
  <pageSetup paperSize="9" scale="71" firstPageNumber="0" orientation="landscape" verticalDpi="300" r:id="rId1"/>
  <headerFooter>
    <oddHeader>&amp;R2022.01.hó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  <pageSetUpPr fitToPage="1"/>
  </sheetPr>
  <dimension ref="A1:I54"/>
  <sheetViews>
    <sheetView showGridLines="0" topLeftCell="A34" zoomScale="90" zoomScaleNormal="90" workbookViewId="0">
      <selection activeCell="F47" activeCellId="4" sqref="F14 F17 F30 F40 F47"/>
    </sheetView>
  </sheetViews>
  <sheetFormatPr defaultRowHeight="12.75" x14ac:dyDescent="0.2"/>
  <cols>
    <col min="1" max="1" width="11.85546875" customWidth="1"/>
    <col min="2" max="2" width="51.5703125" customWidth="1"/>
    <col min="3" max="3" width="19.7109375" customWidth="1"/>
    <col min="4" max="4" width="14.7109375" customWidth="1"/>
    <col min="5" max="5" width="12.7109375" customWidth="1"/>
    <col min="6" max="6" width="18.28515625" customWidth="1"/>
    <col min="7" max="7" width="20.140625" customWidth="1"/>
    <col min="8" max="8" width="8.42578125" customWidth="1"/>
    <col min="9" max="9" width="9.7109375" customWidth="1"/>
    <col min="10" max="1024" width="8.42578125" customWidth="1"/>
  </cols>
  <sheetData>
    <row r="1" spans="1:6" x14ac:dyDescent="0.2">
      <c r="F1" s="48" t="s">
        <v>44</v>
      </c>
    </row>
    <row r="2" spans="1:6" ht="15.75" x14ac:dyDescent="0.25">
      <c r="A2" s="782" t="s">
        <v>680</v>
      </c>
      <c r="B2" s="782"/>
      <c r="C2" s="782"/>
      <c r="D2" s="782"/>
      <c r="E2" s="782"/>
      <c r="F2" s="782"/>
    </row>
    <row r="3" spans="1:6" ht="15.75" x14ac:dyDescent="0.25">
      <c r="A3" s="782" t="s">
        <v>390</v>
      </c>
      <c r="B3" s="782"/>
      <c r="C3" s="782"/>
      <c r="D3" s="782"/>
      <c r="E3" s="782"/>
      <c r="F3" s="782"/>
    </row>
    <row r="4" spans="1:6" ht="13.5" thickBot="1" x14ac:dyDescent="0.25">
      <c r="F4" s="50" t="s">
        <v>45</v>
      </c>
    </row>
    <row r="5" spans="1:6" ht="15.75" x14ac:dyDescent="0.25">
      <c r="A5" s="783" t="s">
        <v>2</v>
      </c>
      <c r="B5" s="783"/>
      <c r="C5" s="783"/>
      <c r="D5" s="783"/>
      <c r="E5" s="783"/>
      <c r="F5" s="783"/>
    </row>
    <row r="6" spans="1:6" ht="15.75" customHeight="1" thickBot="1" x14ac:dyDescent="0.25">
      <c r="A6" s="784" t="s">
        <v>46</v>
      </c>
      <c r="B6" s="785" t="s">
        <v>47</v>
      </c>
      <c r="C6" s="786">
        <v>2022</v>
      </c>
      <c r="D6" s="787"/>
      <c r="E6" s="787"/>
      <c r="F6" s="455">
        <v>2023</v>
      </c>
    </row>
    <row r="7" spans="1:6" ht="25.5" customHeight="1" thickBot="1" x14ac:dyDescent="0.25">
      <c r="A7" s="784"/>
      <c r="B7" s="785"/>
      <c r="C7" s="52" t="s">
        <v>48</v>
      </c>
      <c r="D7" s="51" t="s">
        <v>509</v>
      </c>
      <c r="E7" s="51" t="s">
        <v>384</v>
      </c>
      <c r="F7" s="454" t="s">
        <v>510</v>
      </c>
    </row>
    <row r="8" spans="1:6" ht="24.95" customHeight="1" x14ac:dyDescent="0.2">
      <c r="A8" s="53" t="s">
        <v>49</v>
      </c>
      <c r="B8" s="581" t="s">
        <v>50</v>
      </c>
      <c r="C8" s="589">
        <f>'Bevételek COFOG szerint 2023'!C44</f>
        <v>92799881</v>
      </c>
      <c r="D8" s="592">
        <f t="shared" ref="D8:D11" si="0">F8-C8</f>
        <v>11172415</v>
      </c>
      <c r="E8" s="651">
        <f>'Bevételek COFOG szerint 2023'!E44</f>
        <v>112.03925573999389</v>
      </c>
      <c r="F8" s="56">
        <f>'Bevételek COFOG szerint 2023'!F44</f>
        <v>103972296</v>
      </c>
    </row>
    <row r="9" spans="1:6" ht="24.95" customHeight="1" x14ac:dyDescent="0.2">
      <c r="A9" s="57" t="s">
        <v>51</v>
      </c>
      <c r="B9" s="58" t="s">
        <v>52</v>
      </c>
      <c r="C9" s="590">
        <f>'Bevételek COFOG szerint 2023'!C54</f>
        <v>56764450</v>
      </c>
      <c r="D9" s="59">
        <f t="shared" si="0"/>
        <v>20317410</v>
      </c>
      <c r="E9" s="652">
        <f>'Bevételek COFOG szerint 2023'!E54+'Bevételek COFOG szerint 2023'!E58</f>
        <v>135.79248984179358</v>
      </c>
      <c r="F9" s="60">
        <f>'Bevételek COFOG szerint 2023'!F54</f>
        <v>77081860</v>
      </c>
    </row>
    <row r="10" spans="1:6" ht="24.95" customHeight="1" x14ac:dyDescent="0.2">
      <c r="A10" s="57" t="s">
        <v>53</v>
      </c>
      <c r="B10" s="58" t="s">
        <v>54</v>
      </c>
      <c r="C10" s="590">
        <f>'Bevételek COFOG szerint 2023'!C60+'Bevételek COFOG szerint 2023'!C65</f>
        <v>38285317</v>
      </c>
      <c r="D10" s="59">
        <f t="shared" si="0"/>
        <v>18632417</v>
      </c>
      <c r="E10" s="652">
        <f>'Bevételek COFOG szerint 2023'!E60</f>
        <v>128.17357623222952</v>
      </c>
      <c r="F10" s="60">
        <f>'Bevételek COFOG szerint 2023'!F60+'Bevételek COFOG szerint 2023'!F65</f>
        <v>56917734</v>
      </c>
    </row>
    <row r="11" spans="1:6" ht="24.95" customHeight="1" x14ac:dyDescent="0.2">
      <c r="A11" s="57" t="s">
        <v>55</v>
      </c>
      <c r="B11" s="58" t="s">
        <v>56</v>
      </c>
      <c r="C11" s="590">
        <f>'Bevételek COFOG szerint 2023'!C69</f>
        <v>5654215</v>
      </c>
      <c r="D11" s="59">
        <f t="shared" si="0"/>
        <v>146058</v>
      </c>
      <c r="E11" s="652">
        <f>'Bevételek COFOG szerint 2023'!E69</f>
        <v>102.58317025440313</v>
      </c>
      <c r="F11" s="60">
        <f>'Bevételek COFOG szerint 2023'!F69</f>
        <v>5800273</v>
      </c>
    </row>
    <row r="12" spans="1:6" ht="24.95" customHeight="1" x14ac:dyDescent="0.2">
      <c r="A12" s="61" t="s">
        <v>57</v>
      </c>
      <c r="B12" s="62" t="s">
        <v>58</v>
      </c>
      <c r="C12" s="755">
        <f>SUM('Bevételek COFOG szerint 2023'!C71)</f>
        <v>12946150</v>
      </c>
      <c r="D12" s="63">
        <f>SUM('Bevételek COFOG szerint 2023'!D71)</f>
        <v>-12946150</v>
      </c>
      <c r="E12" s="588">
        <f>SUM('Bevételek COFOG szerint 2023'!E71)</f>
        <v>0</v>
      </c>
      <c r="F12" s="64">
        <f>SUM('Bevételek COFOG szerint 2023'!F71)</f>
        <v>0</v>
      </c>
    </row>
    <row r="13" spans="1:6" ht="24.95" customHeight="1" thickBot="1" x14ac:dyDescent="0.25">
      <c r="A13" s="70" t="s">
        <v>471</v>
      </c>
      <c r="B13" s="71" t="s">
        <v>729</v>
      </c>
      <c r="C13" s="756"/>
      <c r="D13" s="72"/>
      <c r="E13" s="754"/>
      <c r="F13" s="73">
        <f>SUM('Bevételek COFOG szerint 2023'!F76)</f>
        <v>242630</v>
      </c>
    </row>
    <row r="14" spans="1:6" ht="30" customHeight="1" thickBot="1" x14ac:dyDescent="0.25">
      <c r="A14" s="781" t="s">
        <v>59</v>
      </c>
      <c r="B14" s="781"/>
      <c r="C14" s="409">
        <f>SUM(C8:C13)</f>
        <v>206450013</v>
      </c>
      <c r="D14" s="65">
        <f>SUM(D8:D13)</f>
        <v>37322150</v>
      </c>
      <c r="E14" s="323">
        <f>F14/C14*100</f>
        <v>118.19558131972605</v>
      </c>
      <c r="F14" s="66">
        <f>SUM(F8:F13)</f>
        <v>244014793</v>
      </c>
    </row>
    <row r="15" spans="1:6" ht="24.95" customHeight="1" x14ac:dyDescent="0.2">
      <c r="A15" s="53" t="s">
        <v>60</v>
      </c>
      <c r="B15" s="54" t="s">
        <v>61</v>
      </c>
      <c r="C15" s="406"/>
      <c r="D15" s="55"/>
      <c r="E15" s="317"/>
      <c r="F15" s="56">
        <f>'Bevételek COFOG szerint 2023'!F11</f>
        <v>0</v>
      </c>
    </row>
    <row r="16" spans="1:6" ht="24.95" customHeight="1" thickBot="1" x14ac:dyDescent="0.25">
      <c r="A16" s="61" t="s">
        <v>62</v>
      </c>
      <c r="B16" s="582" t="s">
        <v>63</v>
      </c>
      <c r="C16" s="72">
        <f>'Bevételek COFOG szerint 2023'!C77+'Bevételek COFOG szerint 2023'!C90+'Bevételek COFOG szerint 2023'!C95+'Bevételek COFOG szerint 2023'!C111+'Bevételek COFOG szerint 2023'!C116+'Bevételek COFOG szerint 2023'!C107</f>
        <v>11172400</v>
      </c>
      <c r="D16" s="583">
        <f>F16-C16</f>
        <v>-3236200</v>
      </c>
      <c r="E16" s="653">
        <f>'Bevételek COFOG szerint 2023'!E77+'Bevételek COFOG szerint 2023'!E90+'Bevételek COFOG szerint 2023'!E95+'Bevételek COFOG szerint 2023'!E111+'Bevételek COFOG szerint 2023'!E116+'Bevételek COFOG szerint 2023'!E107</f>
        <v>176.918500069185</v>
      </c>
      <c r="F16" s="64">
        <f>'Bevételek COFOG szerint 2023'!F77+'Bevételek COFOG szerint 2023'!F90+'Bevételek COFOG szerint 2023'!F95+'Bevételek COFOG szerint 2023'!F111+'Bevételek COFOG szerint 2023'!F116+'Bevételek COFOG szerint 2023'!F107</f>
        <v>7936200</v>
      </c>
    </row>
    <row r="17" spans="1:6" ht="30" customHeight="1" thickBot="1" x14ac:dyDescent="0.25">
      <c r="A17" s="781" t="s">
        <v>64</v>
      </c>
      <c r="B17" s="781"/>
      <c r="C17" s="409">
        <f>SUM(C15:C16)</f>
        <v>11172400</v>
      </c>
      <c r="D17" s="65">
        <f>SUM(D15:D16)</f>
        <v>-3236200</v>
      </c>
      <c r="E17" s="324">
        <f>F17/C17*100</f>
        <v>71.033976585156282</v>
      </c>
      <c r="F17" s="66">
        <f>SUM(F15:F16)</f>
        <v>7936200</v>
      </c>
    </row>
    <row r="18" spans="1:6" ht="30" customHeight="1" x14ac:dyDescent="0.2">
      <c r="A18" s="491" t="s">
        <v>540</v>
      </c>
      <c r="B18" s="593" t="s">
        <v>520</v>
      </c>
      <c r="C18" s="298">
        <f>'Bevételek COFOG szerint 2023'!C78</f>
        <v>0</v>
      </c>
      <c r="D18" s="585">
        <f>F18-C18</f>
        <v>0</v>
      </c>
      <c r="E18" s="654">
        <f>'Bevételek COFOG szerint 2023'!E78</f>
        <v>0</v>
      </c>
      <c r="F18" s="493"/>
    </row>
    <row r="19" spans="1:6" ht="36.75" customHeight="1" thickBot="1" x14ac:dyDescent="0.25">
      <c r="A19" s="485" t="s">
        <v>477</v>
      </c>
      <c r="B19" s="486" t="s">
        <v>478</v>
      </c>
      <c r="C19" s="487">
        <v>0</v>
      </c>
      <c r="D19" s="585">
        <f>F19-C19</f>
        <v>0</v>
      </c>
      <c r="E19" s="489"/>
      <c r="F19" s="490">
        <f>'Bevételek COFOG szerint 2023'!F121</f>
        <v>0</v>
      </c>
    </row>
    <row r="20" spans="1:6" ht="30" customHeight="1" thickBot="1" x14ac:dyDescent="0.25">
      <c r="A20" s="781" t="s">
        <v>493</v>
      </c>
      <c r="B20" s="781"/>
      <c r="C20" s="409">
        <f>SUM(C18:C19)</f>
        <v>0</v>
      </c>
      <c r="D20" s="65">
        <f>D19+D18</f>
        <v>0</v>
      </c>
      <c r="E20" s="324"/>
      <c r="F20" s="66">
        <f>F19+F18</f>
        <v>0</v>
      </c>
    </row>
    <row r="21" spans="1:6" ht="24.95" customHeight="1" x14ac:dyDescent="0.2">
      <c r="A21" s="57" t="s">
        <v>66</v>
      </c>
      <c r="B21" s="581" t="s">
        <v>67</v>
      </c>
      <c r="C21" s="584">
        <f>'Bevételek COFOG szerint 2023'!C149</f>
        <v>5500000</v>
      </c>
      <c r="D21" s="638">
        <f t="shared" ref="D21:D29" si="1">F21-C21</f>
        <v>1500000</v>
      </c>
      <c r="E21" s="652">
        <f>'Bevételek COFOG szerint 2023'!E149</f>
        <v>127.27272727272727</v>
      </c>
      <c r="F21" s="60">
        <f>'Bevételek COFOG szerint 2023'!F149</f>
        <v>7000000</v>
      </c>
    </row>
    <row r="22" spans="1:6" ht="24.95" customHeight="1" x14ac:dyDescent="0.2">
      <c r="A22" s="57" t="s">
        <v>68</v>
      </c>
      <c r="B22" s="58" t="s">
        <v>69</v>
      </c>
      <c r="C22" s="59">
        <f>'Bevételek COFOG szerint 2023'!C150</f>
        <v>45000000</v>
      </c>
      <c r="D22" s="59">
        <f t="shared" si="1"/>
        <v>10000000</v>
      </c>
      <c r="E22" s="652">
        <f>'Bevételek COFOG szerint 2023'!E150</f>
        <v>122.22222222222223</v>
      </c>
      <c r="F22" s="60">
        <f>'Bevételek COFOG szerint 2023'!F150</f>
        <v>55000000</v>
      </c>
    </row>
    <row r="23" spans="1:6" ht="24.95" customHeight="1" x14ac:dyDescent="0.2">
      <c r="A23" s="57" t="s">
        <v>70</v>
      </c>
      <c r="B23" s="58" t="s">
        <v>71</v>
      </c>
      <c r="C23" s="59">
        <f>'Bevételek COFOG szerint 2023'!C151</f>
        <v>0</v>
      </c>
      <c r="D23" s="59">
        <f t="shared" si="1"/>
        <v>0</v>
      </c>
      <c r="E23" s="652">
        <f>'Bevételek COFOG szerint 2023'!E151</f>
        <v>0</v>
      </c>
      <c r="F23" s="60">
        <f>'Bevételek COFOG szerint 2023'!F151</f>
        <v>0</v>
      </c>
    </row>
    <row r="24" spans="1:6" ht="24.95" customHeight="1" x14ac:dyDescent="0.2">
      <c r="A24" s="57" t="s">
        <v>488</v>
      </c>
      <c r="B24" s="58" t="s">
        <v>489</v>
      </c>
      <c r="C24" s="59">
        <f>'Bevételek COFOG szerint 2023'!C152</f>
        <v>100000</v>
      </c>
      <c r="D24" s="59">
        <f t="shared" si="1"/>
        <v>100000</v>
      </c>
      <c r="E24" s="652">
        <f>'Bevételek COFOG szerint 2023'!E152</f>
        <v>0</v>
      </c>
      <c r="F24" s="60">
        <f>'Bevételek COFOG szerint 2023'!F152</f>
        <v>200000</v>
      </c>
    </row>
    <row r="25" spans="1:6" ht="24.95" customHeight="1" x14ac:dyDescent="0.2">
      <c r="A25" s="57" t="s">
        <v>574</v>
      </c>
      <c r="B25" s="58" t="s">
        <v>605</v>
      </c>
      <c r="C25" s="59">
        <f>SUM('Bevételek COFOG szerint 2023'!C153)</f>
        <v>0</v>
      </c>
      <c r="D25" s="639">
        <f t="shared" si="1"/>
        <v>0</v>
      </c>
      <c r="E25" s="652">
        <f>SUM('Bevételek COFOG szerint 2023'!E153)</f>
        <v>0</v>
      </c>
      <c r="F25" s="60">
        <f>SUM('Bevételek COFOG szerint 2023'!F153)</f>
        <v>0</v>
      </c>
    </row>
    <row r="26" spans="1:6" ht="24.95" customHeight="1" x14ac:dyDescent="0.2">
      <c r="A26" s="57" t="s">
        <v>74</v>
      </c>
      <c r="B26" s="58" t="s">
        <v>75</v>
      </c>
      <c r="C26" s="407">
        <v>0</v>
      </c>
      <c r="D26" s="63">
        <f t="shared" si="1"/>
        <v>0</v>
      </c>
      <c r="E26" s="317"/>
      <c r="F26" s="60">
        <f>'Bevételek COFOG szerint 2023'!F10</f>
        <v>0</v>
      </c>
    </row>
    <row r="27" spans="1:6" ht="24.95" customHeight="1" x14ac:dyDescent="0.2">
      <c r="A27" s="57" t="s">
        <v>76</v>
      </c>
      <c r="B27" s="58" t="s">
        <v>77</v>
      </c>
      <c r="C27" s="407">
        <v>0</v>
      </c>
      <c r="D27" s="59">
        <f t="shared" si="1"/>
        <v>0</v>
      </c>
      <c r="E27" s="317"/>
      <c r="F27" s="60">
        <v>0</v>
      </c>
    </row>
    <row r="28" spans="1:6" ht="24.95" customHeight="1" x14ac:dyDescent="0.2">
      <c r="A28" s="57" t="s">
        <v>78</v>
      </c>
      <c r="B28" s="58" t="s">
        <v>79</v>
      </c>
      <c r="C28" s="59">
        <f>'Bevételek COFOG szerint 2023'!C156</f>
        <v>300000</v>
      </c>
      <c r="D28" s="59">
        <f t="shared" si="1"/>
        <v>0</v>
      </c>
      <c r="E28" s="655">
        <f>'Bevételek COFOG szerint 2023'!E156</f>
        <v>100</v>
      </c>
      <c r="F28" s="60">
        <f>'Bevételek COFOG szerint 2023'!F156</f>
        <v>300000</v>
      </c>
    </row>
    <row r="29" spans="1:6" ht="24.95" customHeight="1" thickBot="1" x14ac:dyDescent="0.25">
      <c r="A29" s="61" t="s">
        <v>80</v>
      </c>
      <c r="B29" s="62" t="s">
        <v>81</v>
      </c>
      <c r="C29" s="408">
        <v>0</v>
      </c>
      <c r="D29" s="55">
        <f t="shared" si="1"/>
        <v>0</v>
      </c>
      <c r="E29" s="317"/>
      <c r="F29" s="64">
        <v>0</v>
      </c>
    </row>
    <row r="30" spans="1:6" ht="24.95" customHeight="1" thickBot="1" x14ac:dyDescent="0.25">
      <c r="A30" s="781" t="s">
        <v>82</v>
      </c>
      <c r="B30" s="781"/>
      <c r="C30" s="409">
        <f>SUM(C21:C29)</f>
        <v>50900000</v>
      </c>
      <c r="D30" s="67">
        <f>SUM(D21:D29)</f>
        <v>11600000</v>
      </c>
      <c r="E30" s="325">
        <f>F30/C30*100</f>
        <v>122.78978388998037</v>
      </c>
      <c r="F30" s="68">
        <f>SUM(F21:F29)</f>
        <v>62500000</v>
      </c>
    </row>
    <row r="31" spans="1:6" ht="24.95" customHeight="1" x14ac:dyDescent="0.2">
      <c r="A31" s="53" t="s">
        <v>83</v>
      </c>
      <c r="B31" s="581" t="s">
        <v>84</v>
      </c>
      <c r="C31" s="589">
        <f>SUM('Bevételek COFOG szerint 2023'!C15)</f>
        <v>100000</v>
      </c>
      <c r="D31" s="638">
        <f t="shared" ref="D31:D39" si="2">F31-C31</f>
        <v>258000</v>
      </c>
      <c r="E31" s="652">
        <f>SUM('Bevételek COFOG szerint 2023'!E15)</f>
        <v>100</v>
      </c>
      <c r="F31" s="60">
        <f>SUM('Bevételek COFOG szerint 2023'!F132+'Bevételek COFOG szerint 2023'!F15)</f>
        <v>358000</v>
      </c>
    </row>
    <row r="32" spans="1:6" ht="24.95" customHeight="1" x14ac:dyDescent="0.2">
      <c r="A32" s="53" t="s">
        <v>465</v>
      </c>
      <c r="B32" s="54" t="s">
        <v>466</v>
      </c>
      <c r="C32" s="590">
        <f>'Bevételek COFOG szerint 2023'!C16</f>
        <v>1620000</v>
      </c>
      <c r="D32" s="59">
        <f t="shared" si="2"/>
        <v>0</v>
      </c>
      <c r="E32" s="652">
        <f>'Bevételek COFOG szerint 2023'!E16</f>
        <v>100</v>
      </c>
      <c r="F32" s="60">
        <f>SUM('Bevételek COFOG szerint 2023'!F16)</f>
        <v>1620000</v>
      </c>
    </row>
    <row r="33" spans="1:8" ht="24.95" customHeight="1" x14ac:dyDescent="0.2">
      <c r="A33" s="57" t="s">
        <v>85</v>
      </c>
      <c r="B33" s="58" t="s">
        <v>86</v>
      </c>
      <c r="C33" s="590">
        <f>SUM('Bevételek COFOG szerint 2023'!C17+'Bevételek COFOG szerint 2023'!C38+'Bevételek COFOG szerint 2023'!C100)</f>
        <v>7200000</v>
      </c>
      <c r="D33" s="639">
        <f t="shared" si="2"/>
        <v>500000</v>
      </c>
      <c r="E33" s="652">
        <f>SUM('Bevételek COFOG szerint 2023'!E17+'Bevételek COFOG szerint 2023'!E38+'Bevételek COFOG szerint 2023'!E100)</f>
        <v>240</v>
      </c>
      <c r="F33" s="60">
        <f>SUM('Bevételek COFOG szerint 2023'!F17+'Bevételek COFOG szerint 2023'!F38+'Bevételek COFOG szerint 2023'!F100)</f>
        <v>7700000</v>
      </c>
      <c r="H33" s="69"/>
    </row>
    <row r="34" spans="1:8" ht="24.95" customHeight="1" x14ac:dyDescent="0.2">
      <c r="A34" s="57" t="s">
        <v>87</v>
      </c>
      <c r="B34" s="58" t="s">
        <v>88</v>
      </c>
      <c r="C34" s="590">
        <f>SUM('Bevételek COFOG szerint 2023'!C126+'Bevételek COFOG szerint 2023'!C143+'Bevételek COFOG szerint 2023'!C138)</f>
        <v>4300000</v>
      </c>
      <c r="D34" s="63">
        <f t="shared" si="2"/>
        <v>100000</v>
      </c>
      <c r="E34" s="652">
        <f>SUM('Bevételek COFOG szerint 2023'!E126+'Bevételek COFOG szerint 2023'!E143+'Bevételek COFOG szerint 2023'!E138)</f>
        <v>233.33333333333331</v>
      </c>
      <c r="F34" s="60">
        <f>SUM('Bevételek COFOG szerint 2023'!F126+'Bevételek COFOG szerint 2023'!F143+'Bevételek COFOG szerint 2023'!F138)</f>
        <v>4400000</v>
      </c>
    </row>
    <row r="35" spans="1:8" ht="24.95" customHeight="1" x14ac:dyDescent="0.2">
      <c r="A35" s="57" t="s">
        <v>89</v>
      </c>
      <c r="B35" s="58" t="s">
        <v>90</v>
      </c>
      <c r="C35" s="590">
        <f>'Bevételek COFOG szerint 2023'!C101+'Bevételek COFOG szerint 2023'!C127+'Bevételek COFOG szerint 2023'!C144</f>
        <v>2781000</v>
      </c>
      <c r="D35" s="63">
        <f t="shared" si="2"/>
        <v>96660</v>
      </c>
      <c r="E35" s="652">
        <f>'Bevételek COFOG szerint 2023'!E101+'Bevételek COFOG szerint 2023'!E127+'Bevételek COFOG szerint 2023'!E144</f>
        <v>333.33333333333331</v>
      </c>
      <c r="F35" s="60">
        <f>'Bevételek COFOG szerint 2023'!F101+'Bevételek COFOG szerint 2023'!F127+'Bevételek COFOG szerint 2023'!F144+'Bevételek COFOG szerint 2023'!F133</f>
        <v>2877660</v>
      </c>
    </row>
    <row r="36" spans="1:8" ht="24.95" customHeight="1" x14ac:dyDescent="0.2">
      <c r="A36" s="57" t="s">
        <v>91</v>
      </c>
      <c r="B36" s="58" t="s">
        <v>92</v>
      </c>
      <c r="C36" s="590">
        <f>SUM('Bevételek COFOG szerint 2023'!C20)</f>
        <v>0</v>
      </c>
      <c r="D36" s="63">
        <f t="shared" si="2"/>
        <v>0</v>
      </c>
      <c r="E36" s="652">
        <f>SUM('Bevételek COFOG szerint 2023'!E20)</f>
        <v>0</v>
      </c>
      <c r="F36" s="60">
        <f>SUM('Bevételek COFOG szerint 2023'!F20)</f>
        <v>0</v>
      </c>
    </row>
    <row r="37" spans="1:8" ht="24.95" customHeight="1" x14ac:dyDescent="0.2">
      <c r="A37" s="57" t="s">
        <v>93</v>
      </c>
      <c r="B37" s="58" t="s">
        <v>94</v>
      </c>
      <c r="C37" s="590">
        <f>SUM('Bevételek COFOG szerint 2023'!C21)</f>
        <v>0</v>
      </c>
      <c r="D37" s="59">
        <f t="shared" si="2"/>
        <v>0</v>
      </c>
      <c r="E37" s="652">
        <f>SUM('Bevételek COFOG szerint 2023'!E21)</f>
        <v>0</v>
      </c>
      <c r="F37" s="60">
        <f>SUM('Bevételek COFOG szerint 2023'!F21)</f>
        <v>0</v>
      </c>
    </row>
    <row r="38" spans="1:8" ht="24.95" customHeight="1" x14ac:dyDescent="0.2">
      <c r="A38" s="57" t="s">
        <v>95</v>
      </c>
      <c r="B38" s="58" t="s">
        <v>387</v>
      </c>
      <c r="C38" s="590">
        <f>'Bevételek COFOG szerint 2023'!C39</f>
        <v>1260000</v>
      </c>
      <c r="D38" s="59">
        <f t="shared" si="2"/>
        <v>0</v>
      </c>
      <c r="E38" s="652">
        <f>'Bevételek COFOG szerint 2023'!E39</f>
        <v>100</v>
      </c>
      <c r="F38" s="60">
        <f>'Bevételek COFOG szerint 2023'!F39</f>
        <v>1260000</v>
      </c>
    </row>
    <row r="39" spans="1:8" ht="24.95" customHeight="1" thickBot="1" x14ac:dyDescent="0.25">
      <c r="A39" s="70" t="s">
        <v>97</v>
      </c>
      <c r="B39" s="71" t="s">
        <v>98</v>
      </c>
      <c r="C39" s="591">
        <f>SUM('Bevételek COFOG szerint 2023'!C22)</f>
        <v>10000</v>
      </c>
      <c r="D39" s="55">
        <f t="shared" si="2"/>
        <v>0</v>
      </c>
      <c r="E39" s="653">
        <f>SUM('Bevételek COFOG szerint 2023'!E22)</f>
        <v>100</v>
      </c>
      <c r="F39" s="73">
        <f>SUM('Bevételek COFOG szerint 2023'!F22)</f>
        <v>10000</v>
      </c>
    </row>
    <row r="40" spans="1:8" ht="30" customHeight="1" thickBot="1" x14ac:dyDescent="0.25">
      <c r="A40" s="781" t="s">
        <v>99</v>
      </c>
      <c r="B40" s="781"/>
      <c r="C40" s="409">
        <f>SUM(C31:C39)</f>
        <v>17271000</v>
      </c>
      <c r="D40" s="67">
        <f>SUM(D31:D39)</f>
        <v>954660</v>
      </c>
      <c r="E40" s="325">
        <f>F40/C40*100</f>
        <v>105.52753170053847</v>
      </c>
      <c r="F40" s="68">
        <f>SUM(F31:F39)</f>
        <v>18225660</v>
      </c>
    </row>
    <row r="41" spans="1:8" ht="24.95" customHeight="1" x14ac:dyDescent="0.2">
      <c r="A41" s="53" t="s">
        <v>100</v>
      </c>
      <c r="B41" s="581" t="s">
        <v>101</v>
      </c>
      <c r="C41" s="589">
        <f>'Bevételek COFOG szerint 2023'!C24</f>
        <v>28380000</v>
      </c>
      <c r="D41" s="638">
        <f t="shared" ref="D41:D46" si="3">F41-C41</f>
        <v>-24686000</v>
      </c>
      <c r="E41" s="652">
        <f>'Bevételek COFOG szerint 2023'!E24</f>
        <v>13.016208597603946</v>
      </c>
      <c r="F41" s="60">
        <f>'Bevételek COFOG szerint 2023'!F24</f>
        <v>3694000</v>
      </c>
    </row>
    <row r="42" spans="1:8" ht="24.95" customHeight="1" x14ac:dyDescent="0.2">
      <c r="A42" s="53" t="s">
        <v>490</v>
      </c>
      <c r="B42" s="54" t="s">
        <v>491</v>
      </c>
      <c r="C42" s="590">
        <v>0</v>
      </c>
      <c r="D42" s="59">
        <f t="shared" si="3"/>
        <v>0</v>
      </c>
      <c r="E42" s="652">
        <v>0</v>
      </c>
      <c r="F42" s="60">
        <v>0</v>
      </c>
    </row>
    <row r="43" spans="1:8" ht="24.95" customHeight="1" x14ac:dyDescent="0.2">
      <c r="A43" s="57" t="s">
        <v>102</v>
      </c>
      <c r="B43" s="58" t="s">
        <v>103</v>
      </c>
      <c r="C43" s="590">
        <f>'Bevételek COFOG szerint 2023'!C31</f>
        <v>178650</v>
      </c>
      <c r="D43" s="639">
        <f t="shared" si="3"/>
        <v>-178650</v>
      </c>
      <c r="E43" s="652">
        <f>'Bevételek COFOG szerint 2023'!E31</f>
        <v>0</v>
      </c>
      <c r="F43" s="60">
        <f>'Bevételek COFOG szerint 2023'!F31</f>
        <v>0</v>
      </c>
    </row>
    <row r="44" spans="1:8" ht="24.95" customHeight="1" x14ac:dyDescent="0.2">
      <c r="A44" s="57" t="s">
        <v>467</v>
      </c>
      <c r="B44" s="58" t="s">
        <v>492</v>
      </c>
      <c r="C44" s="590">
        <f>'Bevételek COFOG szerint 2023'!C33</f>
        <v>320040</v>
      </c>
      <c r="D44" s="63">
        <f t="shared" si="3"/>
        <v>-100100</v>
      </c>
      <c r="E44" s="652">
        <f>'Bevételek COFOG szerint 2023'!E33</f>
        <v>68.722659667541549</v>
      </c>
      <c r="F44" s="60">
        <f>'Bevételek COFOG szerint 2023'!F33</f>
        <v>219940</v>
      </c>
    </row>
    <row r="45" spans="1:8" ht="24.95" customHeight="1" x14ac:dyDescent="0.2">
      <c r="A45" s="61" t="s">
        <v>388</v>
      </c>
      <c r="B45" s="58" t="s">
        <v>106</v>
      </c>
      <c r="C45" s="590">
        <v>0</v>
      </c>
      <c r="D45" s="59">
        <f t="shared" si="3"/>
        <v>0</v>
      </c>
      <c r="E45" s="652">
        <v>0</v>
      </c>
      <c r="F45" s="60">
        <v>0</v>
      </c>
    </row>
    <row r="46" spans="1:8" ht="39" customHeight="1" thickBot="1" x14ac:dyDescent="0.25">
      <c r="A46" s="61" t="s">
        <v>107</v>
      </c>
      <c r="B46" s="62" t="s">
        <v>108</v>
      </c>
      <c r="C46" s="408">
        <v>0</v>
      </c>
      <c r="D46" s="55">
        <f t="shared" si="3"/>
        <v>0</v>
      </c>
      <c r="E46" s="317"/>
      <c r="F46" s="60">
        <v>0</v>
      </c>
    </row>
    <row r="47" spans="1:8" ht="28.5" customHeight="1" thickBot="1" x14ac:dyDescent="0.25">
      <c r="A47" s="779" t="s">
        <v>109</v>
      </c>
      <c r="B47" s="779"/>
      <c r="C47" s="410">
        <f>SUM(C41:C46)</f>
        <v>28878690</v>
      </c>
      <c r="D47" s="67">
        <f>SUM(D41:D46)</f>
        <v>-24964750</v>
      </c>
      <c r="E47" s="325">
        <f>F47/C47*100</f>
        <v>13.553038590046848</v>
      </c>
      <c r="F47" s="68">
        <f>SUM(F41:F46)</f>
        <v>3913940</v>
      </c>
    </row>
    <row r="48" spans="1:8" ht="30" customHeight="1" thickBot="1" x14ac:dyDescent="0.25">
      <c r="A48" s="74" t="s">
        <v>110</v>
      </c>
      <c r="B48" s="75" t="s">
        <v>111</v>
      </c>
      <c r="C48" s="76">
        <f>'Bevételek COFOG szerint 2023'!C85</f>
        <v>251028561</v>
      </c>
      <c r="D48" s="76">
        <f>F48-C48</f>
        <v>79932584</v>
      </c>
      <c r="E48" s="656">
        <f>'Bevételek COFOG szerint 2023'!E85</f>
        <v>131.8420277284703</v>
      </c>
      <c r="F48" s="76">
        <f>'Bevételek COFOG szerint 2023'!F85</f>
        <v>330961145</v>
      </c>
    </row>
    <row r="49" spans="1:9" ht="30" customHeight="1" thickBot="1" x14ac:dyDescent="0.25">
      <c r="A49" s="286" t="s">
        <v>381</v>
      </c>
      <c r="B49" s="287" t="s">
        <v>382</v>
      </c>
      <c r="C49" s="288">
        <f>SUM('Bevételek COFOG szerint 2023'!C79)</f>
        <v>6000000</v>
      </c>
      <c r="D49" s="288">
        <f>SUM('Bevételek COFOG szerint 2023'!D79)</f>
        <v>-6000000</v>
      </c>
      <c r="E49" s="288">
        <f>SUM('Bevételek COFOG szerint 2023'!E79)</f>
        <v>0</v>
      </c>
      <c r="F49" s="288">
        <f>SUM('Bevételek COFOG szerint 2023'!F79)</f>
        <v>0</v>
      </c>
    </row>
    <row r="50" spans="1:9" ht="24.95" customHeight="1" thickBot="1" x14ac:dyDescent="0.25">
      <c r="A50" s="780" t="s">
        <v>112</v>
      </c>
      <c r="B50" s="780"/>
      <c r="C50" s="411">
        <f>SUM(C14+C17+C20+C30+C40+C47+C48+C49)</f>
        <v>571700664</v>
      </c>
      <c r="D50" s="411">
        <f t="shared" ref="D50" si="4">SUM(D14+D17+D20+D30+D40+D47+D48+D49)</f>
        <v>95608444</v>
      </c>
      <c r="E50" s="412">
        <f>F50/C50*100</f>
        <v>116.76595463950694</v>
      </c>
      <c r="F50" s="400">
        <f>F14+F17+F20+F30+F40+F47+F48+F49</f>
        <v>667551738</v>
      </c>
      <c r="I50" s="77"/>
    </row>
    <row r="53" spans="1:9" x14ac:dyDescent="0.2">
      <c r="B53" s="78"/>
      <c r="C53" s="78"/>
    </row>
    <row r="54" spans="1:9" x14ac:dyDescent="0.2">
      <c r="B54" s="120" t="s">
        <v>378</v>
      </c>
      <c r="C54" s="278">
        <f>C50-'Bevételek COFOG szerint 2023'!C162</f>
        <v>0</v>
      </c>
      <c r="D54" s="278">
        <f>D50-'Bevételek COFOG szerint 2023'!D162</f>
        <v>0</v>
      </c>
      <c r="E54" s="278"/>
      <c r="F54" s="278">
        <f>F50-'Bevételek COFOG szerint 2023'!F162</f>
        <v>0</v>
      </c>
    </row>
  </sheetData>
  <sheetProtection algorithmName="SHA-512" hashValue="bF4CgmDZUXzLbwuoJLwUHVXgPEv7QUNFE00TKgpS3hAaVCuU6VekLnrRQcrL0ceq13uRjCRXIgFDZ57QV/4r5A==" saltValue="Mnh5l2jUQSoa/QU6N9jZzw==" spinCount="100000" sheet="1" objects="1" scenarios="1"/>
  <mergeCells count="13">
    <mergeCell ref="A2:F2"/>
    <mergeCell ref="A3:F3"/>
    <mergeCell ref="A5:F5"/>
    <mergeCell ref="A6:A7"/>
    <mergeCell ref="B6:B7"/>
    <mergeCell ref="C6:E6"/>
    <mergeCell ref="A47:B47"/>
    <mergeCell ref="A50:B50"/>
    <mergeCell ref="A14:B14"/>
    <mergeCell ref="A17:B17"/>
    <mergeCell ref="A20:B20"/>
    <mergeCell ref="A30:B30"/>
    <mergeCell ref="A40:B40"/>
  </mergeCells>
  <pageMargins left="0.98425196850393704" right="0.59055118110236227" top="0.59055118110236227" bottom="0.59055118110236227" header="0.51181102362204722" footer="0.51181102362204722"/>
  <pageSetup paperSize="9" scale="62" firstPageNumber="0" orientation="portrait" verticalDpi="300" r:id="rId1"/>
  <headerFooter>
    <oddHeader>&amp;R2022.01.hó</oddHead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0"/>
  <sheetViews>
    <sheetView topLeftCell="A76" zoomScaleNormal="100" workbookViewId="0">
      <selection activeCell="F86" sqref="F86"/>
    </sheetView>
  </sheetViews>
  <sheetFormatPr defaultRowHeight="12.75" x14ac:dyDescent="0.2"/>
  <cols>
    <col min="1" max="1" width="9.7109375" customWidth="1"/>
    <col min="2" max="2" width="42.28515625" customWidth="1"/>
    <col min="3" max="3" width="17.7109375" customWidth="1"/>
    <col min="4" max="4" width="16.7109375" customWidth="1"/>
    <col min="5" max="5" width="13" customWidth="1"/>
    <col min="6" max="6" width="16.7109375" style="79" customWidth="1"/>
    <col min="7" max="7" width="8.42578125" customWidth="1"/>
    <col min="8" max="8" width="25.42578125" style="111" bestFit="1" customWidth="1"/>
    <col min="9" max="9" width="13.85546875" style="111" customWidth="1"/>
    <col min="10" max="10" width="13.140625" bestFit="1" customWidth="1"/>
    <col min="11" max="11" width="15.85546875" customWidth="1"/>
    <col min="12" max="1024" width="8.42578125" customWidth="1"/>
  </cols>
  <sheetData>
    <row r="1" spans="1:10" x14ac:dyDescent="0.2">
      <c r="F1" s="294" t="s">
        <v>113</v>
      </c>
    </row>
    <row r="2" spans="1:10" ht="15.75" x14ac:dyDescent="0.25">
      <c r="A2" s="782" t="s">
        <v>680</v>
      </c>
      <c r="B2" s="782"/>
      <c r="C2" s="782"/>
      <c r="D2" s="782"/>
      <c r="E2" s="782"/>
      <c r="F2" s="782"/>
    </row>
    <row r="3" spans="1:10" ht="15.75" x14ac:dyDescent="0.25">
      <c r="A3" s="782" t="s">
        <v>390</v>
      </c>
      <c r="B3" s="782"/>
      <c r="C3" s="782"/>
      <c r="D3" s="782"/>
      <c r="E3" s="782"/>
      <c r="F3" s="782"/>
    </row>
    <row r="4" spans="1:10" ht="20.25" customHeight="1" thickBot="1" x14ac:dyDescent="0.25">
      <c r="F4" s="80" t="s">
        <v>45</v>
      </c>
    </row>
    <row r="5" spans="1:10" ht="19.5" customHeight="1" thickBot="1" x14ac:dyDescent="0.25">
      <c r="A5" s="806" t="s">
        <v>114</v>
      </c>
      <c r="B5" s="806"/>
      <c r="C5" s="806"/>
      <c r="D5" s="806"/>
      <c r="E5" s="806"/>
      <c r="F5" s="806"/>
    </row>
    <row r="6" spans="1:10" s="39" customFormat="1" ht="19.5" customHeight="1" thickBot="1" x14ac:dyDescent="0.25">
      <c r="A6" s="81"/>
      <c r="B6" s="81"/>
      <c r="C6" s="81"/>
      <c r="D6" s="81"/>
      <c r="E6" s="81"/>
      <c r="F6" s="81"/>
      <c r="H6" s="224"/>
      <c r="I6" s="224"/>
    </row>
    <row r="7" spans="1:10" ht="24.75" customHeight="1" thickBot="1" x14ac:dyDescent="0.25">
      <c r="A7" s="807" t="s">
        <v>115</v>
      </c>
      <c r="B7" s="807"/>
      <c r="C7" s="807"/>
      <c r="D7" s="807"/>
      <c r="E7" s="807"/>
      <c r="F7" s="807"/>
    </row>
    <row r="8" spans="1:10" ht="15.75" customHeight="1" thickBot="1" x14ac:dyDescent="0.25">
      <c r="A8" s="791" t="s">
        <v>46</v>
      </c>
      <c r="B8" s="792" t="s">
        <v>47</v>
      </c>
      <c r="C8" s="793">
        <v>2022</v>
      </c>
      <c r="D8" s="794"/>
      <c r="E8" s="795"/>
      <c r="F8" s="797" t="s">
        <v>681</v>
      </c>
    </row>
    <row r="9" spans="1:10" ht="24.75" customHeight="1" thickBot="1" x14ac:dyDescent="0.25">
      <c r="A9" s="791"/>
      <c r="B9" s="792"/>
      <c r="C9" s="297" t="s">
        <v>48</v>
      </c>
      <c r="D9" s="297" t="s">
        <v>509</v>
      </c>
      <c r="E9" s="297" t="s">
        <v>384</v>
      </c>
      <c r="F9" s="797"/>
    </row>
    <row r="10" spans="1:10" ht="24.75" customHeight="1" x14ac:dyDescent="0.2">
      <c r="A10" s="82" t="s">
        <v>116</v>
      </c>
      <c r="B10" s="83" t="s">
        <v>117</v>
      </c>
      <c r="C10" s="414">
        <v>0</v>
      </c>
      <c r="D10" s="84">
        <f t="shared" ref="D10:D24" si="0">F10-C10</f>
        <v>0</v>
      </c>
      <c r="E10" s="318"/>
      <c r="F10" s="85">
        <v>0</v>
      </c>
    </row>
    <row r="11" spans="1:10" ht="34.5" customHeight="1" x14ac:dyDescent="0.2">
      <c r="A11" s="86" t="s">
        <v>60</v>
      </c>
      <c r="B11" s="87" t="s">
        <v>61</v>
      </c>
      <c r="C11" s="351">
        <v>0</v>
      </c>
      <c r="D11" s="84">
        <f t="shared" si="0"/>
        <v>0</v>
      </c>
      <c r="E11" s="318"/>
      <c r="F11" s="88">
        <v>0</v>
      </c>
    </row>
    <row r="12" spans="1:10" ht="22.5" customHeight="1" x14ac:dyDescent="0.2">
      <c r="A12" s="86" t="s">
        <v>62</v>
      </c>
      <c r="B12" s="87" t="s">
        <v>63</v>
      </c>
      <c r="C12" s="351">
        <v>0</v>
      </c>
      <c r="D12" s="84">
        <f t="shared" si="0"/>
        <v>0</v>
      </c>
      <c r="E12" s="318"/>
      <c r="F12" s="88">
        <v>0</v>
      </c>
    </row>
    <row r="13" spans="1:10" ht="33.75" customHeight="1" x14ac:dyDescent="0.2">
      <c r="A13" s="86" t="s">
        <v>107</v>
      </c>
      <c r="B13" s="87" t="s">
        <v>108</v>
      </c>
      <c r="C13" s="351">
        <v>0</v>
      </c>
      <c r="D13" s="84">
        <f t="shared" si="0"/>
        <v>0</v>
      </c>
      <c r="E13" s="318"/>
      <c r="F13" s="88"/>
      <c r="H13" s="224"/>
      <c r="I13" s="224"/>
      <c r="J13" s="89"/>
    </row>
    <row r="14" spans="1:10" ht="12.75" customHeight="1" x14ac:dyDescent="0.2">
      <c r="A14" s="86" t="s">
        <v>118</v>
      </c>
      <c r="B14" s="87" t="s">
        <v>81</v>
      </c>
      <c r="C14" s="351">
        <v>0</v>
      </c>
      <c r="D14" s="84">
        <f t="shared" si="0"/>
        <v>0</v>
      </c>
      <c r="E14" s="318"/>
      <c r="F14" s="88"/>
    </row>
    <row r="15" spans="1:10" ht="12.75" customHeight="1" x14ac:dyDescent="0.2">
      <c r="A15" s="86" t="s">
        <v>83</v>
      </c>
      <c r="B15" s="87" t="s">
        <v>84</v>
      </c>
      <c r="C15" s="351">
        <v>100000</v>
      </c>
      <c r="D15" s="84">
        <f t="shared" si="0"/>
        <v>0</v>
      </c>
      <c r="E15" s="318">
        <f t="shared" ref="E15:E33" si="1">F15/C15*100</f>
        <v>100</v>
      </c>
      <c r="F15" s="88">
        <v>100000</v>
      </c>
      <c r="G15" t="s">
        <v>576</v>
      </c>
    </row>
    <row r="16" spans="1:10" ht="12.75" customHeight="1" x14ac:dyDescent="0.2">
      <c r="A16" s="114" t="s">
        <v>465</v>
      </c>
      <c r="B16" s="87" t="s">
        <v>466</v>
      </c>
      <c r="C16" s="351">
        <v>1620000</v>
      </c>
      <c r="D16" s="84">
        <f t="shared" si="0"/>
        <v>0</v>
      </c>
      <c r="E16" s="318">
        <f t="shared" si="1"/>
        <v>100</v>
      </c>
      <c r="F16" s="88">
        <v>1620000</v>
      </c>
    </row>
    <row r="17" spans="1:11" ht="12.75" customHeight="1" x14ac:dyDescent="0.2">
      <c r="A17" s="808" t="s">
        <v>85</v>
      </c>
      <c r="B17" s="87" t="s">
        <v>86</v>
      </c>
      <c r="C17" s="351">
        <v>200000</v>
      </c>
      <c r="D17" s="84">
        <f t="shared" si="0"/>
        <v>100000</v>
      </c>
      <c r="E17" s="318"/>
      <c r="F17" s="88">
        <v>300000</v>
      </c>
    </row>
    <row r="18" spans="1:11" ht="12.75" customHeight="1" x14ac:dyDescent="0.2">
      <c r="A18" s="808"/>
      <c r="B18" s="90"/>
      <c r="C18" s="415"/>
      <c r="D18" s="84">
        <f t="shared" si="0"/>
        <v>0</v>
      </c>
      <c r="E18" s="318"/>
      <c r="F18" s="88"/>
    </row>
    <row r="19" spans="1:11" ht="12.75" customHeight="1" x14ac:dyDescent="0.2">
      <c r="A19" s="86" t="s">
        <v>119</v>
      </c>
      <c r="B19" s="87" t="s">
        <v>90</v>
      </c>
      <c r="C19" s="351"/>
      <c r="D19" s="84">
        <f t="shared" si="0"/>
        <v>0</v>
      </c>
      <c r="E19" s="318"/>
      <c r="F19" s="88"/>
    </row>
    <row r="20" spans="1:11" ht="12.75" customHeight="1" x14ac:dyDescent="0.2">
      <c r="A20" s="86" t="s">
        <v>91</v>
      </c>
      <c r="B20" s="87" t="s">
        <v>92</v>
      </c>
      <c r="C20" s="351"/>
      <c r="D20" s="84">
        <f t="shared" si="0"/>
        <v>0</v>
      </c>
      <c r="E20" s="318">
        <v>0</v>
      </c>
      <c r="F20" s="88"/>
      <c r="G20" s="111"/>
    </row>
    <row r="21" spans="1:11" ht="12.75" customHeight="1" x14ac:dyDescent="0.25">
      <c r="A21" s="86" t="s">
        <v>93</v>
      </c>
      <c r="B21" s="87" t="s">
        <v>94</v>
      </c>
      <c r="C21" s="351"/>
      <c r="D21" s="84">
        <f t="shared" si="0"/>
        <v>0</v>
      </c>
      <c r="E21" s="318">
        <v>0</v>
      </c>
      <c r="F21" s="88"/>
      <c r="I21" s="538"/>
      <c r="J21" s="539"/>
    </row>
    <row r="22" spans="1:11" ht="12.75" customHeight="1" x14ac:dyDescent="0.25">
      <c r="A22" s="86" t="s">
        <v>95</v>
      </c>
      <c r="B22" s="87" t="s">
        <v>96</v>
      </c>
      <c r="C22" s="351">
        <v>10000</v>
      </c>
      <c r="D22" s="84">
        <f t="shared" si="0"/>
        <v>0</v>
      </c>
      <c r="E22" s="318">
        <f t="shared" si="1"/>
        <v>100</v>
      </c>
      <c r="F22" s="88">
        <v>10000</v>
      </c>
      <c r="I22" s="540"/>
      <c r="J22" s="541"/>
    </row>
    <row r="23" spans="1:11" ht="12.75" customHeight="1" x14ac:dyDescent="0.25">
      <c r="A23" s="91" t="s">
        <v>95</v>
      </c>
      <c r="B23" s="87"/>
      <c r="C23" s="351"/>
      <c r="D23" s="84">
        <f t="shared" si="0"/>
        <v>0</v>
      </c>
      <c r="E23" s="318"/>
      <c r="F23" s="88"/>
      <c r="I23" s="542"/>
      <c r="J23" s="541"/>
    </row>
    <row r="24" spans="1:11" ht="12.75" customHeight="1" x14ac:dyDescent="0.25">
      <c r="A24" s="102" t="s">
        <v>100</v>
      </c>
      <c r="B24" s="204" t="s">
        <v>101</v>
      </c>
      <c r="C24" s="416">
        <v>28380000</v>
      </c>
      <c r="D24" s="84">
        <f t="shared" si="0"/>
        <v>-24686000</v>
      </c>
      <c r="E24" s="318">
        <f t="shared" si="1"/>
        <v>13.016208597603946</v>
      </c>
      <c r="F24" s="398">
        <f>SUM(F25:F30)</f>
        <v>3694000</v>
      </c>
      <c r="I24" s="542"/>
      <c r="J24" s="541"/>
      <c r="K24" s="111"/>
    </row>
    <row r="25" spans="1:11" ht="12.75" customHeight="1" x14ac:dyDescent="0.25">
      <c r="A25" s="200"/>
      <c r="B25" s="204" t="s">
        <v>723</v>
      </c>
      <c r="C25" s="416"/>
      <c r="D25" s="84"/>
      <c r="E25" s="318"/>
      <c r="F25" s="88">
        <v>118000</v>
      </c>
      <c r="I25" s="542"/>
      <c r="J25" s="541"/>
      <c r="K25" s="111"/>
    </row>
    <row r="26" spans="1:11" ht="12.75" customHeight="1" x14ac:dyDescent="0.25">
      <c r="A26" s="200"/>
      <c r="B26" s="204" t="s">
        <v>724</v>
      </c>
      <c r="C26" s="416"/>
      <c r="D26" s="84"/>
      <c r="E26" s="318"/>
      <c r="F26" s="88">
        <v>121500</v>
      </c>
      <c r="I26" s="542"/>
      <c r="J26" s="541"/>
      <c r="K26" s="111"/>
    </row>
    <row r="27" spans="1:11" ht="12.75" customHeight="1" x14ac:dyDescent="0.25">
      <c r="A27" s="200"/>
      <c r="B27" s="204" t="s">
        <v>726</v>
      </c>
      <c r="C27" s="416"/>
      <c r="D27" s="84"/>
      <c r="E27" s="318"/>
      <c r="F27" s="88">
        <v>182500</v>
      </c>
      <c r="I27" s="542"/>
      <c r="J27" s="541"/>
      <c r="K27" s="111"/>
    </row>
    <row r="28" spans="1:11" ht="12.75" customHeight="1" x14ac:dyDescent="0.25">
      <c r="A28" s="200"/>
      <c r="B28" s="204" t="s">
        <v>727</v>
      </c>
      <c r="C28" s="416"/>
      <c r="D28" s="84"/>
      <c r="E28" s="318"/>
      <c r="F28" s="88">
        <v>46500</v>
      </c>
      <c r="I28" s="542"/>
      <c r="J28" s="541"/>
      <c r="K28" s="111"/>
    </row>
    <row r="29" spans="1:11" ht="12.75" customHeight="1" x14ac:dyDescent="0.2">
      <c r="A29" s="200"/>
      <c r="B29" s="209" t="s">
        <v>725</v>
      </c>
      <c r="C29" s="417"/>
      <c r="D29" s="84"/>
      <c r="E29" s="318"/>
      <c r="F29" s="397">
        <v>86000</v>
      </c>
      <c r="J29" s="69"/>
      <c r="K29" s="111"/>
    </row>
    <row r="30" spans="1:11" ht="12.75" customHeight="1" x14ac:dyDescent="0.2">
      <c r="A30" s="200"/>
      <c r="B30" s="209" t="s">
        <v>721</v>
      </c>
      <c r="C30" s="417"/>
      <c r="D30" s="84"/>
      <c r="E30" s="318"/>
      <c r="F30" s="397">
        <v>3139500</v>
      </c>
      <c r="J30" s="69"/>
      <c r="K30" s="111"/>
    </row>
    <row r="31" spans="1:11" ht="21" x14ac:dyDescent="0.2">
      <c r="A31" s="150" t="s">
        <v>102</v>
      </c>
      <c r="B31" s="87" t="s">
        <v>103</v>
      </c>
      <c r="C31" s="351">
        <v>178650</v>
      </c>
      <c r="D31" s="84">
        <f>F31-C31</f>
        <v>-178650</v>
      </c>
      <c r="E31" s="318">
        <f t="shared" si="1"/>
        <v>0</v>
      </c>
      <c r="F31" s="88"/>
      <c r="I31" s="739"/>
      <c r="J31" s="69"/>
    </row>
    <row r="32" spans="1:11" x14ac:dyDescent="0.2">
      <c r="A32" s="86" t="s">
        <v>104</v>
      </c>
      <c r="B32" s="87" t="s">
        <v>105</v>
      </c>
      <c r="C32" s="351"/>
      <c r="D32" s="84">
        <f>F32-C32</f>
        <v>0</v>
      </c>
      <c r="E32" s="318"/>
      <c r="F32" s="88"/>
      <c r="J32" t="s">
        <v>579</v>
      </c>
      <c r="K32" t="s">
        <v>682</v>
      </c>
    </row>
    <row r="33" spans="1:11" ht="21.75" thickBot="1" x14ac:dyDescent="0.25">
      <c r="A33" s="91" t="s">
        <v>467</v>
      </c>
      <c r="B33" s="92" t="s">
        <v>468</v>
      </c>
      <c r="C33" s="418">
        <v>320040</v>
      </c>
      <c r="D33" s="84">
        <f>F33-C33</f>
        <v>-100100</v>
      </c>
      <c r="E33" s="318">
        <f t="shared" si="1"/>
        <v>68.722659667541549</v>
      </c>
      <c r="F33" s="759">
        <v>219940</v>
      </c>
      <c r="G33" s="39"/>
      <c r="H33" s="111" t="s">
        <v>577</v>
      </c>
      <c r="I33" s="393">
        <v>99920</v>
      </c>
      <c r="J33" s="77">
        <v>99920</v>
      </c>
      <c r="K33">
        <v>0</v>
      </c>
    </row>
    <row r="34" spans="1:11" ht="19.5" customHeight="1" thickBot="1" x14ac:dyDescent="0.25">
      <c r="A34" s="789" t="s">
        <v>120</v>
      </c>
      <c r="B34" s="789"/>
      <c r="C34" s="695">
        <f>SUM(C15+C16+C17+C22+C24+C31+C33)</f>
        <v>30808690</v>
      </c>
      <c r="D34" s="695">
        <f>SUM(D10:D33)</f>
        <v>-24864750</v>
      </c>
      <c r="E34" s="696">
        <f>F34/C34*100</f>
        <v>19.293063093562239</v>
      </c>
      <c r="F34" s="697">
        <f>F11+F15+F16+F17+F19+F20+F21+F22+F24+F31+F33</f>
        <v>5943940</v>
      </c>
      <c r="H34" s="111" t="s">
        <v>578</v>
      </c>
      <c r="I34" s="393">
        <v>20000</v>
      </c>
      <c r="J34" s="77">
        <v>20000</v>
      </c>
      <c r="K34">
        <v>0</v>
      </c>
    </row>
    <row r="35" spans="1:11" ht="24" customHeight="1" thickBot="1" x14ac:dyDescent="0.25">
      <c r="A35" s="805" t="s">
        <v>282</v>
      </c>
      <c r="B35" s="805"/>
      <c r="C35" s="805"/>
      <c r="D35" s="805"/>
      <c r="E35" s="805"/>
      <c r="F35" s="805"/>
      <c r="H35" s="111" t="s">
        <v>656</v>
      </c>
      <c r="I35" s="393">
        <v>383310</v>
      </c>
      <c r="J35" s="77">
        <v>100020</v>
      </c>
      <c r="K35" s="77">
        <f>SUM(I35-J35)</f>
        <v>283290</v>
      </c>
    </row>
    <row r="36" spans="1:11" ht="17.25" customHeight="1" thickBot="1" x14ac:dyDescent="0.25">
      <c r="A36" s="791" t="s">
        <v>46</v>
      </c>
      <c r="B36" s="792" t="s">
        <v>47</v>
      </c>
      <c r="C36" s="793">
        <v>2022</v>
      </c>
      <c r="D36" s="794"/>
      <c r="E36" s="795"/>
      <c r="F36" s="797" t="s">
        <v>681</v>
      </c>
      <c r="J36" s="119">
        <f>SUM(J33:J35)</f>
        <v>219940</v>
      </c>
    </row>
    <row r="37" spans="1:11" ht="26.25" customHeight="1" thickBot="1" x14ac:dyDescent="0.25">
      <c r="A37" s="791"/>
      <c r="B37" s="792"/>
      <c r="C37" s="297" t="s">
        <v>48</v>
      </c>
      <c r="D37" s="297" t="s">
        <v>509</v>
      </c>
      <c r="E37" s="297" t="s">
        <v>384</v>
      </c>
      <c r="F37" s="797"/>
    </row>
    <row r="38" spans="1:11" ht="16.5" customHeight="1" x14ac:dyDescent="0.2">
      <c r="A38" s="365" t="s">
        <v>85</v>
      </c>
      <c r="B38" s="391" t="s">
        <v>518</v>
      </c>
      <c r="C38" s="391">
        <v>1000000</v>
      </c>
      <c r="D38" s="637">
        <f>F38-C38</f>
        <v>400000</v>
      </c>
      <c r="E38" s="419">
        <f>F38/C38*100</f>
        <v>140</v>
      </c>
      <c r="F38" s="392">
        <v>1400000</v>
      </c>
      <c r="I38" s="393"/>
    </row>
    <row r="39" spans="1:11" ht="16.5" customHeight="1" thickBot="1" x14ac:dyDescent="0.25">
      <c r="A39" s="101" t="s">
        <v>95</v>
      </c>
      <c r="B39" s="388" t="s">
        <v>519</v>
      </c>
      <c r="C39" s="388">
        <v>1260000</v>
      </c>
      <c r="D39" s="330">
        <f>F39-C39</f>
        <v>0</v>
      </c>
      <c r="E39" s="640">
        <f>F39/C39*100</f>
        <v>100</v>
      </c>
      <c r="F39" s="390">
        <v>1260000</v>
      </c>
      <c r="H39" s="111" t="s">
        <v>657</v>
      </c>
      <c r="I39" s="393">
        <v>60000</v>
      </c>
    </row>
    <row r="40" spans="1:11" ht="18" customHeight="1" thickBot="1" x14ac:dyDescent="0.25">
      <c r="A40" s="809" t="s">
        <v>120</v>
      </c>
      <c r="B40" s="809"/>
      <c r="C40" s="695">
        <f>C38+C39</f>
        <v>2260000</v>
      </c>
      <c r="D40" s="695">
        <f>SUM(D38:D39)</f>
        <v>400000</v>
      </c>
      <c r="E40" s="696">
        <f>E38</f>
        <v>140</v>
      </c>
      <c r="F40" s="697">
        <f>SUM(F38:F39)</f>
        <v>2660000</v>
      </c>
      <c r="H40" s="111" t="s">
        <v>658</v>
      </c>
      <c r="I40" s="393">
        <v>50000</v>
      </c>
    </row>
    <row r="41" spans="1:11" ht="24" customHeight="1" thickBot="1" x14ac:dyDescent="0.25">
      <c r="A41" s="805" t="s">
        <v>122</v>
      </c>
      <c r="B41" s="805"/>
      <c r="C41" s="805"/>
      <c r="D41" s="805"/>
      <c r="E41" s="805"/>
      <c r="F41" s="805"/>
      <c r="H41" s="111" t="s">
        <v>659</v>
      </c>
      <c r="I41" s="740">
        <v>15000</v>
      </c>
    </row>
    <row r="42" spans="1:11" ht="15.75" customHeight="1" thickBot="1" x14ac:dyDescent="0.25">
      <c r="A42" s="791" t="s">
        <v>46</v>
      </c>
      <c r="B42" s="792" t="s">
        <v>47</v>
      </c>
      <c r="C42" s="793">
        <v>2022</v>
      </c>
      <c r="D42" s="794"/>
      <c r="E42" s="795"/>
      <c r="F42" s="797" t="s">
        <v>681</v>
      </c>
      <c r="I42" s="739">
        <f>SUM(I38:I41)</f>
        <v>125000</v>
      </c>
      <c r="J42" s="119">
        <f>SUM(I42*12)</f>
        <v>1500000</v>
      </c>
    </row>
    <row r="43" spans="1:11" ht="27.75" customHeight="1" thickBot="1" x14ac:dyDescent="0.25">
      <c r="A43" s="791"/>
      <c r="B43" s="792"/>
      <c r="C43" s="297" t="s">
        <v>48</v>
      </c>
      <c r="D43" s="297" t="s">
        <v>509</v>
      </c>
      <c r="E43" s="297" t="s">
        <v>384</v>
      </c>
      <c r="F43" s="797"/>
    </row>
    <row r="44" spans="1:11" ht="27" customHeight="1" x14ac:dyDescent="0.2">
      <c r="A44" s="675" t="s">
        <v>49</v>
      </c>
      <c r="B44" s="676" t="s">
        <v>50</v>
      </c>
      <c r="C44" s="677">
        <f>SUM(C45:C53)</f>
        <v>92799881</v>
      </c>
      <c r="D44" s="678">
        <f t="shared" ref="D44:D79" si="2">F44-C44</f>
        <v>11172415</v>
      </c>
      <c r="E44" s="679">
        <f>F44/C44*100</f>
        <v>112.03925573999389</v>
      </c>
      <c r="F44" s="680">
        <f>SUM(F45:F53)</f>
        <v>103972296</v>
      </c>
      <c r="H44" s="111" t="s">
        <v>661</v>
      </c>
      <c r="I44" s="393">
        <v>45000</v>
      </c>
    </row>
    <row r="45" spans="1:11" ht="27" customHeight="1" x14ac:dyDescent="0.2">
      <c r="A45" s="394" t="s">
        <v>49</v>
      </c>
      <c r="B45" s="90" t="s">
        <v>469</v>
      </c>
      <c r="C45" s="670">
        <v>70122580</v>
      </c>
      <c r="D45" s="99">
        <f t="shared" si="2"/>
        <v>2024530</v>
      </c>
      <c r="E45" s="672"/>
      <c r="F45" s="395">
        <v>72147110</v>
      </c>
      <c r="H45" s="111" t="s">
        <v>660</v>
      </c>
      <c r="I45" s="393">
        <v>30000</v>
      </c>
    </row>
    <row r="46" spans="1:11" ht="27" customHeight="1" x14ac:dyDescent="0.2">
      <c r="A46" s="97" t="s">
        <v>49</v>
      </c>
      <c r="B46" s="90" t="s">
        <v>123</v>
      </c>
      <c r="C46" s="671">
        <v>4304160</v>
      </c>
      <c r="D46" s="99">
        <f t="shared" si="2"/>
        <v>141840</v>
      </c>
      <c r="E46" s="672"/>
      <c r="F46" s="98">
        <v>4446000</v>
      </c>
      <c r="H46" s="111" t="s">
        <v>662</v>
      </c>
      <c r="I46" s="740">
        <v>30000</v>
      </c>
      <c r="J46" s="119">
        <f>SUM(I47*12)</f>
        <v>1260000</v>
      </c>
    </row>
    <row r="47" spans="1:11" ht="20.100000000000001" customHeight="1" x14ac:dyDescent="0.2">
      <c r="A47" s="97" t="s">
        <v>49</v>
      </c>
      <c r="B47" s="90" t="s">
        <v>124</v>
      </c>
      <c r="C47" s="671">
        <v>5216000</v>
      </c>
      <c r="D47" s="99">
        <f t="shared" si="2"/>
        <v>311500</v>
      </c>
      <c r="E47" s="672"/>
      <c r="F47" s="98">
        <v>5527500</v>
      </c>
      <c r="I47" s="739">
        <f>SUM(I44:I46)</f>
        <v>105000</v>
      </c>
    </row>
    <row r="48" spans="1:11" ht="20.100000000000001" customHeight="1" x14ac:dyDescent="0.2">
      <c r="A48" s="97" t="s">
        <v>49</v>
      </c>
      <c r="B48" s="90" t="s">
        <v>125</v>
      </c>
      <c r="C48" s="671">
        <v>718911</v>
      </c>
      <c r="D48" s="99">
        <f t="shared" si="2"/>
        <v>166704</v>
      </c>
      <c r="E48" s="672"/>
      <c r="F48" s="98">
        <v>885615</v>
      </c>
    </row>
    <row r="49" spans="1:6" ht="20.100000000000001" customHeight="1" x14ac:dyDescent="0.2">
      <c r="A49" s="97" t="s">
        <v>49</v>
      </c>
      <c r="B49" s="90" t="s">
        <v>126</v>
      </c>
      <c r="C49" s="671">
        <v>4354080</v>
      </c>
      <c r="D49" s="99">
        <f t="shared" si="2"/>
        <v>185280</v>
      </c>
      <c r="E49" s="672"/>
      <c r="F49" s="98">
        <v>4539360</v>
      </c>
    </row>
    <row r="50" spans="1:6" ht="20.100000000000001" customHeight="1" x14ac:dyDescent="0.2">
      <c r="A50" s="97" t="s">
        <v>49</v>
      </c>
      <c r="B50" s="90" t="s">
        <v>543</v>
      </c>
      <c r="C50" s="671">
        <v>8000000</v>
      </c>
      <c r="D50" s="99">
        <f t="shared" si="2"/>
        <v>500000</v>
      </c>
      <c r="E50" s="672"/>
      <c r="F50" s="98">
        <v>8500000</v>
      </c>
    </row>
    <row r="51" spans="1:6" ht="20.100000000000001" customHeight="1" x14ac:dyDescent="0.2">
      <c r="A51" s="97" t="s">
        <v>49</v>
      </c>
      <c r="B51" s="90" t="s">
        <v>544</v>
      </c>
      <c r="C51" s="671">
        <v>84150</v>
      </c>
      <c r="D51" s="99">
        <f t="shared" si="2"/>
        <v>2550</v>
      </c>
      <c r="E51" s="672"/>
      <c r="F51" s="98">
        <v>86700</v>
      </c>
    </row>
    <row r="52" spans="1:6" ht="20.100000000000001" customHeight="1" x14ac:dyDescent="0.2">
      <c r="A52" s="97" t="s">
        <v>49</v>
      </c>
      <c r="B52" s="90" t="s">
        <v>127</v>
      </c>
      <c r="C52" s="671">
        <v>0</v>
      </c>
      <c r="D52" s="99">
        <f t="shared" si="2"/>
        <v>3610011</v>
      </c>
      <c r="E52" s="672"/>
      <c r="F52" s="98">
        <v>3610011</v>
      </c>
    </row>
    <row r="53" spans="1:6" ht="20.100000000000001" customHeight="1" x14ac:dyDescent="0.2">
      <c r="A53" s="97" t="s">
        <v>49</v>
      </c>
      <c r="B53" s="90" t="s">
        <v>694</v>
      </c>
      <c r="C53" s="671">
        <v>0</v>
      </c>
      <c r="D53" s="99">
        <f t="shared" si="2"/>
        <v>4230000</v>
      </c>
      <c r="E53" s="673"/>
      <c r="F53" s="98">
        <v>4230000</v>
      </c>
    </row>
    <row r="54" spans="1:6" ht="27" customHeight="1" x14ac:dyDescent="0.2">
      <c r="A54" s="681" t="s">
        <v>51</v>
      </c>
      <c r="B54" s="682" t="s">
        <v>128</v>
      </c>
      <c r="C54" s="683">
        <f>SUM(C55:C59)</f>
        <v>56764450</v>
      </c>
      <c r="D54" s="684">
        <f>F54-C54</f>
        <v>20317410</v>
      </c>
      <c r="E54" s="685">
        <f>F54/C54*100</f>
        <v>135.79248984179358</v>
      </c>
      <c r="F54" s="686">
        <f>SUM(F55:F59)</f>
        <v>77081860</v>
      </c>
    </row>
    <row r="55" spans="1:6" ht="20.100000000000001" customHeight="1" x14ac:dyDescent="0.2">
      <c r="A55" s="97" t="s">
        <v>51</v>
      </c>
      <c r="B55" s="90" t="s">
        <v>617</v>
      </c>
      <c r="C55" s="671">
        <v>7590000</v>
      </c>
      <c r="D55" s="99">
        <f t="shared" si="2"/>
        <v>2550000</v>
      </c>
      <c r="E55" s="672"/>
      <c r="F55" s="98">
        <v>10140000</v>
      </c>
    </row>
    <row r="56" spans="1:6" ht="20.100000000000001" customHeight="1" x14ac:dyDescent="0.2">
      <c r="A56" s="97" t="s">
        <v>51</v>
      </c>
      <c r="B56" s="90" t="s">
        <v>695</v>
      </c>
      <c r="C56" s="671">
        <v>0</v>
      </c>
      <c r="D56" s="99">
        <f t="shared" si="2"/>
        <v>5360000</v>
      </c>
      <c r="E56" s="672"/>
      <c r="F56" s="98">
        <v>5360000</v>
      </c>
    </row>
    <row r="57" spans="1:6" ht="20.100000000000001" customHeight="1" x14ac:dyDescent="0.2">
      <c r="A57" s="97" t="s">
        <v>51</v>
      </c>
      <c r="B57" s="90" t="s">
        <v>618</v>
      </c>
      <c r="C57" s="671">
        <v>32572050</v>
      </c>
      <c r="D57" s="99">
        <f t="shared" si="2"/>
        <v>6373410</v>
      </c>
      <c r="E57" s="672"/>
      <c r="F57" s="98">
        <v>38945460</v>
      </c>
    </row>
    <row r="58" spans="1:6" ht="20.100000000000001" customHeight="1" x14ac:dyDescent="0.2">
      <c r="A58" s="97" t="s">
        <v>51</v>
      </c>
      <c r="B58" s="90" t="s">
        <v>620</v>
      </c>
      <c r="C58" s="671">
        <v>3246400</v>
      </c>
      <c r="D58" s="99">
        <f>F58-C58</f>
        <v>0</v>
      </c>
      <c r="E58" s="672"/>
      <c r="F58" s="98">
        <v>3246400</v>
      </c>
    </row>
    <row r="59" spans="1:6" ht="20.100000000000001" customHeight="1" x14ac:dyDescent="0.2">
      <c r="A59" s="97" t="s">
        <v>51</v>
      </c>
      <c r="B59" s="90" t="s">
        <v>619</v>
      </c>
      <c r="C59" s="671">
        <v>13356000</v>
      </c>
      <c r="D59" s="99">
        <f>F59-C59</f>
        <v>6034000</v>
      </c>
      <c r="E59" s="674"/>
      <c r="F59" s="98">
        <v>19390000</v>
      </c>
    </row>
    <row r="60" spans="1:6" ht="34.5" customHeight="1" x14ac:dyDescent="0.2">
      <c r="A60" s="687" t="s">
        <v>53</v>
      </c>
      <c r="B60" s="688" t="s">
        <v>623</v>
      </c>
      <c r="C60" s="689">
        <f>SUM(C61:C64)</f>
        <v>23494000</v>
      </c>
      <c r="D60" s="684">
        <f t="shared" si="2"/>
        <v>6619100</v>
      </c>
      <c r="E60" s="685">
        <f>F60/C60*100</f>
        <v>128.17357623222952</v>
      </c>
      <c r="F60" s="690">
        <f>SUM(F61:F64)</f>
        <v>30113100</v>
      </c>
    </row>
    <row r="61" spans="1:6" ht="20.100000000000001" customHeight="1" x14ac:dyDescent="0.2">
      <c r="A61" s="100" t="s">
        <v>53</v>
      </c>
      <c r="B61" s="90" t="s">
        <v>129</v>
      </c>
      <c r="C61" s="420">
        <v>10471000</v>
      </c>
      <c r="D61" s="99">
        <f>F61-C61</f>
        <v>-2474000</v>
      </c>
      <c r="E61" s="694"/>
      <c r="F61" s="98">
        <v>7997000</v>
      </c>
    </row>
    <row r="62" spans="1:6" ht="20.100000000000001" customHeight="1" x14ac:dyDescent="0.2">
      <c r="A62" s="100" t="s">
        <v>53</v>
      </c>
      <c r="B62" s="90" t="s">
        <v>132</v>
      </c>
      <c r="C62" s="420">
        <v>0</v>
      </c>
      <c r="D62" s="99">
        <f t="shared" ref="D62:D65" si="3">F62-C62</f>
        <v>0</v>
      </c>
      <c r="E62" s="694"/>
      <c r="F62" s="98"/>
    </row>
    <row r="63" spans="1:6" ht="20.100000000000001" customHeight="1" x14ac:dyDescent="0.2">
      <c r="A63" s="100" t="s">
        <v>53</v>
      </c>
      <c r="B63" s="90" t="s">
        <v>470</v>
      </c>
      <c r="C63" s="420">
        <v>12780000</v>
      </c>
      <c r="D63" s="99">
        <f t="shared" si="3"/>
        <v>9032000</v>
      </c>
      <c r="E63" s="694"/>
      <c r="F63" s="98">
        <v>21812000</v>
      </c>
    </row>
    <row r="64" spans="1:6" ht="20.100000000000001" customHeight="1" x14ac:dyDescent="0.2">
      <c r="A64" s="100" t="s">
        <v>53</v>
      </c>
      <c r="B64" s="90" t="s">
        <v>511</v>
      </c>
      <c r="C64" s="420">
        <v>243000</v>
      </c>
      <c r="D64" s="99">
        <f t="shared" si="3"/>
        <v>61100</v>
      </c>
      <c r="E64" s="694"/>
      <c r="F64" s="98">
        <v>304100</v>
      </c>
    </row>
    <row r="65" spans="1:11" ht="34.5" customHeight="1" x14ac:dyDescent="0.2">
      <c r="A65" s="691" t="s">
        <v>621</v>
      </c>
      <c r="B65" s="688" t="s">
        <v>622</v>
      </c>
      <c r="C65" s="689">
        <f>SUM(C66:C68)</f>
        <v>14791317</v>
      </c>
      <c r="D65" s="692">
        <f t="shared" si="3"/>
        <v>12013317</v>
      </c>
      <c r="E65" s="685">
        <f t="shared" ref="E65" si="4">F65/C65*100</f>
        <v>181.21871095048533</v>
      </c>
      <c r="F65" s="690">
        <f>SUM(F66:F68)</f>
        <v>26804634</v>
      </c>
    </row>
    <row r="66" spans="1:11" ht="24" customHeight="1" x14ac:dyDescent="0.2">
      <c r="A66" s="97" t="s">
        <v>621</v>
      </c>
      <c r="B66" s="90" t="s">
        <v>130</v>
      </c>
      <c r="C66" s="420">
        <v>12991440</v>
      </c>
      <c r="D66" s="99">
        <f t="shared" si="2"/>
        <v>915105</v>
      </c>
      <c r="E66" s="320"/>
      <c r="F66" s="98">
        <v>13906545</v>
      </c>
    </row>
    <row r="67" spans="1:11" ht="20.100000000000001" customHeight="1" x14ac:dyDescent="0.2">
      <c r="A67" s="97" t="s">
        <v>621</v>
      </c>
      <c r="B67" s="90" t="s">
        <v>131</v>
      </c>
      <c r="C67" s="420">
        <v>1799877</v>
      </c>
      <c r="D67" s="99">
        <f t="shared" si="2"/>
        <v>11098212</v>
      </c>
      <c r="E67" s="320"/>
      <c r="F67" s="98">
        <v>12898089</v>
      </c>
    </row>
    <row r="68" spans="1:11" ht="20.100000000000001" customHeight="1" x14ac:dyDescent="0.2">
      <c r="A68" s="97" t="s">
        <v>621</v>
      </c>
      <c r="B68" s="90" t="s">
        <v>624</v>
      </c>
      <c r="C68" s="420">
        <v>0</v>
      </c>
      <c r="D68" s="99">
        <f t="shared" si="2"/>
        <v>0</v>
      </c>
      <c r="E68" s="320"/>
      <c r="F68" s="98"/>
    </row>
    <row r="69" spans="1:11" ht="27.75" customHeight="1" x14ac:dyDescent="0.2">
      <c r="A69" s="693" t="s">
        <v>55</v>
      </c>
      <c r="B69" s="676" t="s">
        <v>56</v>
      </c>
      <c r="C69" s="677">
        <v>5654215</v>
      </c>
      <c r="D69" s="678">
        <f t="shared" si="2"/>
        <v>146058</v>
      </c>
      <c r="E69" s="679">
        <f>F69/C69*100</f>
        <v>102.58317025440313</v>
      </c>
      <c r="F69" s="680">
        <f>SUM(F70)</f>
        <v>5800273</v>
      </c>
      <c r="K69" s="111"/>
    </row>
    <row r="70" spans="1:11" ht="27.75" customHeight="1" x14ac:dyDescent="0.2">
      <c r="A70" s="114" t="s">
        <v>55</v>
      </c>
      <c r="B70" s="87" t="s">
        <v>380</v>
      </c>
      <c r="C70" s="421">
        <v>5654215</v>
      </c>
      <c r="D70" s="281">
        <f t="shared" si="2"/>
        <v>146058</v>
      </c>
      <c r="E70" s="757">
        <f>SUM(F70/C70*100)</f>
        <v>102.58317025440313</v>
      </c>
      <c r="F70" s="282">
        <v>5800273</v>
      </c>
      <c r="K70" s="111"/>
    </row>
    <row r="71" spans="1:11" ht="27.75" customHeight="1" x14ac:dyDescent="0.2">
      <c r="A71" s="693" t="s">
        <v>57</v>
      </c>
      <c r="B71" s="676" t="s">
        <v>670</v>
      </c>
      <c r="C71" s="677">
        <f>SUM(C72:C75)</f>
        <v>12946150</v>
      </c>
      <c r="D71" s="678">
        <f t="shared" si="2"/>
        <v>-12946150</v>
      </c>
      <c r="E71" s="679"/>
      <c r="F71" s="680">
        <f>SUM(F72:F75)</f>
        <v>0</v>
      </c>
      <c r="K71" s="111"/>
    </row>
    <row r="72" spans="1:11" x14ac:dyDescent="0.2">
      <c r="A72" s="102" t="s">
        <v>57</v>
      </c>
      <c r="B72" s="92" t="s">
        <v>671</v>
      </c>
      <c r="C72" s="422">
        <v>1767614</v>
      </c>
      <c r="D72" s="281">
        <f t="shared" si="2"/>
        <v>-1767614</v>
      </c>
      <c r="E72" s="319"/>
      <c r="F72" s="103"/>
      <c r="H72" s="120"/>
    </row>
    <row r="73" spans="1:11" x14ac:dyDescent="0.2">
      <c r="A73" s="114" t="s">
        <v>57</v>
      </c>
      <c r="B73" s="92" t="s">
        <v>672</v>
      </c>
      <c r="C73" s="422">
        <v>6225380</v>
      </c>
      <c r="D73" s="281">
        <f t="shared" si="2"/>
        <v>-6225380</v>
      </c>
      <c r="E73" s="319"/>
      <c r="F73" s="282"/>
    </row>
    <row r="74" spans="1:11" x14ac:dyDescent="0.2">
      <c r="A74" s="91" t="s">
        <v>57</v>
      </c>
      <c r="B74" s="92" t="s">
        <v>673</v>
      </c>
      <c r="C74" s="422">
        <v>3579000</v>
      </c>
      <c r="D74" s="281">
        <f t="shared" si="2"/>
        <v>-3579000</v>
      </c>
      <c r="E74" s="319"/>
      <c r="F74" s="103"/>
    </row>
    <row r="75" spans="1:11" x14ac:dyDescent="0.2">
      <c r="A75" s="91" t="s">
        <v>57</v>
      </c>
      <c r="B75" s="92" t="s">
        <v>674</v>
      </c>
      <c r="C75" s="422">
        <v>1374156</v>
      </c>
      <c r="D75" s="281">
        <f t="shared" si="2"/>
        <v>-1374156</v>
      </c>
      <c r="E75" s="319"/>
      <c r="F75" s="103"/>
    </row>
    <row r="76" spans="1:11" x14ac:dyDescent="0.2">
      <c r="A76" s="91" t="s">
        <v>471</v>
      </c>
      <c r="B76" s="92" t="s">
        <v>728</v>
      </c>
      <c r="C76" s="422"/>
      <c r="D76" s="281"/>
      <c r="E76" s="319"/>
      <c r="F76" s="103">
        <v>242630</v>
      </c>
    </row>
    <row r="77" spans="1:11" ht="26.25" customHeight="1" x14ac:dyDescent="0.2">
      <c r="A77" s="91" t="s">
        <v>62</v>
      </c>
      <c r="B77" s="92" t="s">
        <v>534</v>
      </c>
      <c r="C77" s="422">
        <v>0</v>
      </c>
      <c r="D77" s="281">
        <f t="shared" si="2"/>
        <v>0</v>
      </c>
      <c r="E77" s="319"/>
      <c r="F77" s="103"/>
      <c r="G77" s="248"/>
    </row>
    <row r="78" spans="1:11" ht="26.25" customHeight="1" x14ac:dyDescent="0.2">
      <c r="A78" s="91" t="s">
        <v>65</v>
      </c>
      <c r="B78" s="92" t="s">
        <v>520</v>
      </c>
      <c r="C78" s="422"/>
      <c r="D78" s="281">
        <f t="shared" si="2"/>
        <v>0</v>
      </c>
      <c r="E78" s="319"/>
      <c r="F78" s="103"/>
      <c r="J78" s="77"/>
    </row>
    <row r="79" spans="1:11" ht="26.25" customHeight="1" thickBot="1" x14ac:dyDescent="0.25">
      <c r="A79" s="104" t="s">
        <v>381</v>
      </c>
      <c r="B79" s="340" t="s">
        <v>382</v>
      </c>
      <c r="C79" s="423">
        <v>6000000</v>
      </c>
      <c r="D79" s="281">
        <f t="shared" si="2"/>
        <v>-6000000</v>
      </c>
      <c r="E79" s="319"/>
      <c r="F79" s="396"/>
    </row>
    <row r="80" spans="1:11" ht="23.25" customHeight="1" thickBot="1" x14ac:dyDescent="0.25">
      <c r="A80" s="789" t="s">
        <v>120</v>
      </c>
      <c r="B80" s="789"/>
      <c r="C80" s="698">
        <f>SUM(C44+C54+C60+C69+C71+C77+C78+C79+C65)</f>
        <v>212450013</v>
      </c>
      <c r="D80" s="698">
        <f>SUM(D44+D54+D60+D65+D69+D71+D77+D78+D79)</f>
        <v>31322150</v>
      </c>
      <c r="E80" s="699">
        <f>F80/C80*100</f>
        <v>114.85750909320961</v>
      </c>
      <c r="F80" s="700">
        <f>F44+F54+F60+F69+F71+F77+F78+F79+F65+F76</f>
        <v>244014793</v>
      </c>
    </row>
    <row r="81" spans="1:11" ht="23.25" customHeight="1" thickBot="1" x14ac:dyDescent="0.25">
      <c r="A81" s="805" t="s">
        <v>133</v>
      </c>
      <c r="B81" s="805"/>
      <c r="C81" s="805"/>
      <c r="D81" s="805"/>
      <c r="E81" s="805"/>
      <c r="F81" s="805"/>
    </row>
    <row r="82" spans="1:11" ht="17.25" customHeight="1" thickBot="1" x14ac:dyDescent="0.25">
      <c r="A82" s="791" t="s">
        <v>46</v>
      </c>
      <c r="B82" s="792" t="s">
        <v>47</v>
      </c>
      <c r="C82" s="793">
        <v>2022</v>
      </c>
      <c r="D82" s="794"/>
      <c r="E82" s="795"/>
      <c r="F82" s="797" t="s">
        <v>681</v>
      </c>
    </row>
    <row r="83" spans="1:11" ht="27.75" customHeight="1" thickBot="1" x14ac:dyDescent="0.25">
      <c r="A83" s="791"/>
      <c r="B83" s="792"/>
      <c r="C83" s="297" t="s">
        <v>48</v>
      </c>
      <c r="D83" s="297" t="s">
        <v>509</v>
      </c>
      <c r="E83" s="297" t="s">
        <v>384</v>
      </c>
      <c r="F83" s="797"/>
    </row>
    <row r="84" spans="1:11" ht="23.25" customHeight="1" x14ac:dyDescent="0.2">
      <c r="A84" s="86" t="s">
        <v>57</v>
      </c>
      <c r="B84" s="87" t="s">
        <v>58</v>
      </c>
      <c r="C84" s="87"/>
      <c r="D84" s="106"/>
      <c r="E84" s="106"/>
      <c r="F84" s="107"/>
    </row>
    <row r="85" spans="1:11" ht="24" customHeight="1" thickBot="1" x14ac:dyDescent="0.25">
      <c r="A85" s="102" t="s">
        <v>110</v>
      </c>
      <c r="B85" s="92" t="s">
        <v>111</v>
      </c>
      <c r="C85" s="95">
        <v>251028561</v>
      </c>
      <c r="D85" s="108">
        <f>F85-C85</f>
        <v>79932584</v>
      </c>
      <c r="E85" s="322">
        <f>F85/C85*100</f>
        <v>131.8420277284703</v>
      </c>
      <c r="F85" s="109">
        <v>330961145</v>
      </c>
      <c r="G85" s="39"/>
      <c r="I85" s="393"/>
    </row>
    <row r="86" spans="1:11" ht="18.75" customHeight="1" thickBot="1" x14ac:dyDescent="0.25">
      <c r="A86" s="789" t="s">
        <v>120</v>
      </c>
      <c r="B86" s="789"/>
      <c r="C86" s="695">
        <f>C85</f>
        <v>251028561</v>
      </c>
      <c r="D86" s="695">
        <f>D85</f>
        <v>79932584</v>
      </c>
      <c r="E86" s="696">
        <f>E85</f>
        <v>131.8420277284703</v>
      </c>
      <c r="F86" s="697">
        <f>SUM(F84:F85)</f>
        <v>330961145</v>
      </c>
    </row>
    <row r="87" spans="1:11" ht="21" customHeight="1" thickBot="1" x14ac:dyDescent="0.25">
      <c r="A87" s="805" t="s">
        <v>385</v>
      </c>
      <c r="B87" s="805"/>
      <c r="C87" s="805"/>
      <c r="D87" s="805"/>
      <c r="E87" s="805"/>
      <c r="F87" s="805"/>
    </row>
    <row r="88" spans="1:11" ht="17.25" customHeight="1" thickBot="1" x14ac:dyDescent="0.25">
      <c r="A88" s="791" t="s">
        <v>46</v>
      </c>
      <c r="B88" s="792" t="s">
        <v>47</v>
      </c>
      <c r="C88" s="793">
        <v>2022</v>
      </c>
      <c r="D88" s="794"/>
      <c r="E88" s="795"/>
      <c r="F88" s="797" t="s">
        <v>681</v>
      </c>
    </row>
    <row r="89" spans="1:11" ht="24.75" customHeight="1" thickBot="1" x14ac:dyDescent="0.25">
      <c r="A89" s="791"/>
      <c r="B89" s="792"/>
      <c r="C89" s="297" t="s">
        <v>48</v>
      </c>
      <c r="D89" s="297" t="s">
        <v>509</v>
      </c>
      <c r="E89" s="297" t="s">
        <v>384</v>
      </c>
      <c r="F89" s="797"/>
    </row>
    <row r="90" spans="1:11" ht="25.5" customHeight="1" thickBot="1" x14ac:dyDescent="0.25">
      <c r="A90" s="102" t="s">
        <v>62</v>
      </c>
      <c r="B90" s="92" t="s">
        <v>63</v>
      </c>
      <c r="C90" s="110">
        <v>2500000</v>
      </c>
      <c r="D90" s="95">
        <f>F90-C90</f>
        <v>500000</v>
      </c>
      <c r="E90" s="227">
        <f>F90/C90*100</f>
        <v>120</v>
      </c>
      <c r="F90" s="110">
        <v>3000000</v>
      </c>
      <c r="G90" s="69"/>
      <c r="K90" s="77"/>
    </row>
    <row r="91" spans="1:11" ht="18.75" customHeight="1" thickBot="1" x14ac:dyDescent="0.25">
      <c r="A91" s="798" t="s">
        <v>120</v>
      </c>
      <c r="B91" s="798"/>
      <c r="C91" s="701">
        <f>C90</f>
        <v>2500000</v>
      </c>
      <c r="D91" s="701">
        <f>SUM(D90)</f>
        <v>500000</v>
      </c>
      <c r="E91" s="702">
        <f>SUM(E90)</f>
        <v>120</v>
      </c>
      <c r="F91" s="703">
        <f>F90</f>
        <v>3000000</v>
      </c>
      <c r="K91" s="77"/>
    </row>
    <row r="92" spans="1:11" ht="18.75" hidden="1" customHeight="1" thickBot="1" x14ac:dyDescent="0.25">
      <c r="A92" s="805" t="s">
        <v>416</v>
      </c>
      <c r="B92" s="805"/>
      <c r="C92" s="805"/>
      <c r="D92" s="805"/>
      <c r="E92" s="805"/>
      <c r="F92" s="805"/>
      <c r="K92" s="77"/>
    </row>
    <row r="93" spans="1:11" ht="18.75" hidden="1" customHeight="1" thickBot="1" x14ac:dyDescent="0.25">
      <c r="A93" s="791" t="s">
        <v>46</v>
      </c>
      <c r="B93" s="792" t="s">
        <v>47</v>
      </c>
      <c r="C93" s="793">
        <v>2021</v>
      </c>
      <c r="D93" s="794"/>
      <c r="E93" s="795"/>
      <c r="F93" s="797" t="s">
        <v>616</v>
      </c>
      <c r="K93" s="77"/>
    </row>
    <row r="94" spans="1:11" ht="18.75" hidden="1" customHeight="1" thickBot="1" x14ac:dyDescent="0.25">
      <c r="A94" s="791"/>
      <c r="B94" s="792"/>
      <c r="C94" s="297" t="s">
        <v>48</v>
      </c>
      <c r="D94" s="297" t="s">
        <v>509</v>
      </c>
      <c r="E94" s="297" t="s">
        <v>384</v>
      </c>
      <c r="F94" s="797"/>
      <c r="K94" s="77"/>
    </row>
    <row r="95" spans="1:11" ht="24.75" hidden="1" customHeight="1" thickBot="1" x14ac:dyDescent="0.25">
      <c r="A95" s="102" t="s">
        <v>62</v>
      </c>
      <c r="B95" s="92" t="s">
        <v>63</v>
      </c>
      <c r="C95" s="92">
        <v>0</v>
      </c>
      <c r="D95" s="95">
        <f>F95-C95</f>
        <v>0</v>
      </c>
      <c r="E95" s="227"/>
      <c r="F95" s="110">
        <v>0</v>
      </c>
      <c r="K95" s="77"/>
    </row>
    <row r="96" spans="1:11" ht="18.75" hidden="1" customHeight="1" thickBot="1" x14ac:dyDescent="0.25">
      <c r="A96" s="798" t="s">
        <v>120</v>
      </c>
      <c r="B96" s="798"/>
      <c r="C96" s="701">
        <f>C95</f>
        <v>0</v>
      </c>
      <c r="D96" s="701">
        <f>SUM(D95)</f>
        <v>0</v>
      </c>
      <c r="E96" s="702">
        <f>SUM(E95)</f>
        <v>0</v>
      </c>
      <c r="F96" s="703">
        <f>F95</f>
        <v>0</v>
      </c>
      <c r="K96" s="77"/>
    </row>
    <row r="97" spans="1:6" ht="24" customHeight="1" thickBot="1" x14ac:dyDescent="0.25">
      <c r="A97" s="805" t="s">
        <v>134</v>
      </c>
      <c r="B97" s="805"/>
      <c r="C97" s="805"/>
      <c r="D97" s="805"/>
      <c r="E97" s="805"/>
      <c r="F97" s="805"/>
    </row>
    <row r="98" spans="1:6" ht="17.25" customHeight="1" thickBot="1" x14ac:dyDescent="0.25">
      <c r="A98" s="791" t="s">
        <v>46</v>
      </c>
      <c r="B98" s="792" t="s">
        <v>47</v>
      </c>
      <c r="C98" s="793">
        <v>2022</v>
      </c>
      <c r="D98" s="794"/>
      <c r="E98" s="795"/>
      <c r="F98" s="797" t="s">
        <v>681</v>
      </c>
    </row>
    <row r="99" spans="1:6" ht="26.25" customHeight="1" thickBot="1" x14ac:dyDescent="0.25">
      <c r="A99" s="791"/>
      <c r="B99" s="792"/>
      <c r="C99" s="297" t="s">
        <v>48</v>
      </c>
      <c r="D99" s="297" t="s">
        <v>509</v>
      </c>
      <c r="E99" s="297" t="s">
        <v>384</v>
      </c>
      <c r="F99" s="797"/>
    </row>
    <row r="100" spans="1:6" ht="16.5" customHeight="1" x14ac:dyDescent="0.2">
      <c r="A100" s="86" t="s">
        <v>85</v>
      </c>
      <c r="B100" s="87" t="s">
        <v>86</v>
      </c>
      <c r="C100" s="351">
        <v>6000000</v>
      </c>
      <c r="D100" s="106">
        <f>F100-C100</f>
        <v>0</v>
      </c>
      <c r="E100" s="197">
        <f>F100/C100*100</f>
        <v>100</v>
      </c>
      <c r="F100" s="107">
        <v>6000000</v>
      </c>
    </row>
    <row r="101" spans="1:6" ht="18" customHeight="1" thickBot="1" x14ac:dyDescent="0.25">
      <c r="A101" s="102" t="s">
        <v>89</v>
      </c>
      <c r="B101" s="92" t="s">
        <v>90</v>
      </c>
      <c r="C101" s="418">
        <v>1620000</v>
      </c>
      <c r="D101" s="106">
        <f>F101-C101</f>
        <v>0</v>
      </c>
      <c r="E101" s="197">
        <f>F101/C101*100</f>
        <v>100</v>
      </c>
      <c r="F101" s="96">
        <v>1620000</v>
      </c>
    </row>
    <row r="102" spans="1:6" ht="18.75" customHeight="1" thickBot="1" x14ac:dyDescent="0.25">
      <c r="A102" s="798" t="s">
        <v>120</v>
      </c>
      <c r="B102" s="798"/>
      <c r="C102" s="704">
        <f>SUM(C100:C101)</f>
        <v>7620000</v>
      </c>
      <c r="D102" s="701">
        <f>SUM(D100:D101)</f>
        <v>0</v>
      </c>
      <c r="E102" s="702">
        <f>F102/C102*100</f>
        <v>100</v>
      </c>
      <c r="F102" s="705">
        <f>SUM(F100:F101)</f>
        <v>7620000</v>
      </c>
    </row>
    <row r="103" spans="1:6" ht="18.75" customHeight="1" thickBot="1" x14ac:dyDescent="0.25">
      <c r="A103" s="802" t="s">
        <v>501</v>
      </c>
      <c r="B103" s="803"/>
      <c r="C103" s="803"/>
      <c r="D103" s="803"/>
      <c r="E103" s="803"/>
      <c r="F103" s="804"/>
    </row>
    <row r="104" spans="1:6" ht="18.75" customHeight="1" thickBot="1" x14ac:dyDescent="0.25">
      <c r="A104" s="791" t="s">
        <v>46</v>
      </c>
      <c r="B104" s="792" t="s">
        <v>47</v>
      </c>
      <c r="C104" s="793">
        <v>2022</v>
      </c>
      <c r="D104" s="794"/>
      <c r="E104" s="795"/>
      <c r="F104" s="797" t="s">
        <v>681</v>
      </c>
    </row>
    <row r="105" spans="1:6" ht="18.75" customHeight="1" thickBot="1" x14ac:dyDescent="0.25">
      <c r="A105" s="791"/>
      <c r="B105" s="792"/>
      <c r="C105" s="297" t="s">
        <v>48</v>
      </c>
      <c r="D105" s="297" t="s">
        <v>509</v>
      </c>
      <c r="E105" s="297" t="s">
        <v>384</v>
      </c>
      <c r="F105" s="797"/>
    </row>
    <row r="106" spans="1:6" ht="26.25" customHeight="1" thickBot="1" x14ac:dyDescent="0.25">
      <c r="A106" s="91" t="s">
        <v>62</v>
      </c>
      <c r="B106" s="92" t="s">
        <v>507</v>
      </c>
      <c r="C106" s="563">
        <v>0</v>
      </c>
      <c r="D106" s="95">
        <f>F106-C106</f>
        <v>0</v>
      </c>
      <c r="E106" s="227"/>
      <c r="F106" s="96">
        <v>0</v>
      </c>
    </row>
    <row r="107" spans="1:6" ht="18.75" customHeight="1" thickBot="1" x14ac:dyDescent="0.25">
      <c r="A107" s="789" t="s">
        <v>120</v>
      </c>
      <c r="B107" s="789"/>
      <c r="C107" s="706">
        <v>0</v>
      </c>
      <c r="D107" s="695">
        <f>SUM(D106)</f>
        <v>0</v>
      </c>
      <c r="E107" s="696"/>
      <c r="F107" s="697">
        <f>SUM(F106)</f>
        <v>0</v>
      </c>
    </row>
    <row r="108" spans="1:6" ht="18.75" customHeight="1" thickBot="1" x14ac:dyDescent="0.25">
      <c r="A108" s="799" t="s">
        <v>476</v>
      </c>
      <c r="B108" s="800"/>
      <c r="C108" s="800"/>
      <c r="D108" s="800"/>
      <c r="E108" s="800"/>
      <c r="F108" s="801"/>
    </row>
    <row r="109" spans="1:6" ht="18.75" customHeight="1" thickBot="1" x14ac:dyDescent="0.25">
      <c r="A109" s="791" t="s">
        <v>46</v>
      </c>
      <c r="B109" s="792" t="s">
        <v>47</v>
      </c>
      <c r="C109" s="793">
        <v>2022</v>
      </c>
      <c r="D109" s="794"/>
      <c r="E109" s="795"/>
      <c r="F109" s="797" t="s">
        <v>681</v>
      </c>
    </row>
    <row r="110" spans="1:6" ht="18.75" customHeight="1" thickBot="1" x14ac:dyDescent="0.25">
      <c r="A110" s="791"/>
      <c r="B110" s="792"/>
      <c r="C110" s="297" t="s">
        <v>48</v>
      </c>
      <c r="D110" s="297" t="s">
        <v>509</v>
      </c>
      <c r="E110" s="297" t="s">
        <v>384</v>
      </c>
      <c r="F110" s="797"/>
    </row>
    <row r="111" spans="1:6" ht="24.75" customHeight="1" thickBot="1" x14ac:dyDescent="0.25">
      <c r="A111" s="91" t="s">
        <v>62</v>
      </c>
      <c r="B111" s="92" t="s">
        <v>597</v>
      </c>
      <c r="C111" s="95">
        <v>0</v>
      </c>
      <c r="D111" s="95">
        <f>F111-C111</f>
        <v>0</v>
      </c>
      <c r="E111" s="227">
        <v>0</v>
      </c>
      <c r="F111" s="96">
        <v>0</v>
      </c>
    </row>
    <row r="112" spans="1:6" ht="18.75" customHeight="1" thickBot="1" x14ac:dyDescent="0.25">
      <c r="A112" s="789" t="s">
        <v>120</v>
      </c>
      <c r="B112" s="789"/>
      <c r="C112" s="695">
        <f>SUM(C111)</f>
        <v>0</v>
      </c>
      <c r="D112" s="695">
        <f>SUM(D111)</f>
        <v>0</v>
      </c>
      <c r="E112" s="696">
        <f>SUM(E111)</f>
        <v>0</v>
      </c>
      <c r="F112" s="697">
        <f>SUM(F111)</f>
        <v>0</v>
      </c>
    </row>
    <row r="113" spans="1:10" ht="25.5" customHeight="1" thickBot="1" x14ac:dyDescent="0.25">
      <c r="A113" s="799" t="s">
        <v>135</v>
      </c>
      <c r="B113" s="800"/>
      <c r="C113" s="800"/>
      <c r="D113" s="800"/>
      <c r="E113" s="800"/>
      <c r="F113" s="801"/>
    </row>
    <row r="114" spans="1:10" ht="18.75" customHeight="1" thickBot="1" x14ac:dyDescent="0.25">
      <c r="A114" s="791" t="s">
        <v>46</v>
      </c>
      <c r="B114" s="792" t="s">
        <v>47</v>
      </c>
      <c r="C114" s="793">
        <v>2022</v>
      </c>
      <c r="D114" s="794"/>
      <c r="E114" s="795"/>
      <c r="F114" s="797" t="s">
        <v>681</v>
      </c>
    </row>
    <row r="115" spans="1:10" ht="26.25" customHeight="1" thickBot="1" x14ac:dyDescent="0.25">
      <c r="A115" s="791"/>
      <c r="B115" s="792"/>
      <c r="C115" s="297" t="s">
        <v>48</v>
      </c>
      <c r="D115" s="297" t="s">
        <v>509</v>
      </c>
      <c r="E115" s="297" t="s">
        <v>384</v>
      </c>
      <c r="F115" s="797"/>
    </row>
    <row r="116" spans="1:10" ht="27" customHeight="1" thickBot="1" x14ac:dyDescent="0.25">
      <c r="A116" s="102" t="s">
        <v>62</v>
      </c>
      <c r="B116" s="92" t="s">
        <v>136</v>
      </c>
      <c r="C116" s="758">
        <v>8672400</v>
      </c>
      <c r="D116" s="431">
        <f>F116-C116</f>
        <v>-3736200</v>
      </c>
      <c r="E116" s="227">
        <f>F116/C116*100</f>
        <v>56.918500069184994</v>
      </c>
      <c r="F116" s="96">
        <v>4936200</v>
      </c>
      <c r="J116" s="77"/>
    </row>
    <row r="117" spans="1:10" ht="18" customHeight="1" thickBot="1" x14ac:dyDescent="0.25">
      <c r="A117" s="789" t="s">
        <v>120</v>
      </c>
      <c r="B117" s="789"/>
      <c r="C117" s="707">
        <f>SUM(C116)</f>
        <v>8672400</v>
      </c>
      <c r="D117" s="695">
        <f>SUM(D116)</f>
        <v>-3736200</v>
      </c>
      <c r="E117" s="696">
        <f>SUM(E116)</f>
        <v>56.918500069184994</v>
      </c>
      <c r="F117" s="697">
        <f>SUM(F116)</f>
        <v>4936200</v>
      </c>
    </row>
    <row r="118" spans="1:10" ht="22.5" customHeight="1" thickBot="1" x14ac:dyDescent="0.25">
      <c r="A118" s="805" t="s">
        <v>431</v>
      </c>
      <c r="B118" s="805"/>
      <c r="C118" s="805"/>
      <c r="D118" s="805"/>
      <c r="E118" s="805"/>
      <c r="F118" s="805"/>
    </row>
    <row r="119" spans="1:10" ht="18" customHeight="1" thickBot="1" x14ac:dyDescent="0.25">
      <c r="A119" s="791" t="s">
        <v>46</v>
      </c>
      <c r="B119" s="792" t="s">
        <v>47</v>
      </c>
      <c r="C119" s="793">
        <v>2022</v>
      </c>
      <c r="D119" s="794"/>
      <c r="E119" s="795"/>
      <c r="F119" s="797" t="s">
        <v>681</v>
      </c>
    </row>
    <row r="120" spans="1:10" ht="26.25" customHeight="1" thickBot="1" x14ac:dyDescent="0.25">
      <c r="A120" s="791"/>
      <c r="B120" s="792"/>
      <c r="C120" s="297" t="s">
        <v>48</v>
      </c>
      <c r="D120" s="297" t="s">
        <v>509</v>
      </c>
      <c r="E120" s="297" t="s">
        <v>384</v>
      </c>
      <c r="F120" s="797"/>
    </row>
    <row r="121" spans="1:10" ht="32.25" thickBot="1" x14ac:dyDescent="0.25">
      <c r="A121" s="114" t="s">
        <v>477</v>
      </c>
      <c r="B121" s="87" t="s">
        <v>478</v>
      </c>
      <c r="C121" s="413">
        <v>0</v>
      </c>
      <c r="D121" s="106">
        <f>F121-C121</f>
        <v>0</v>
      </c>
      <c r="E121" s="197">
        <v>0</v>
      </c>
      <c r="F121" s="107">
        <v>0</v>
      </c>
    </row>
    <row r="122" spans="1:10" ht="18.75" customHeight="1" thickBot="1" x14ac:dyDescent="0.25">
      <c r="A122" s="789" t="s">
        <v>120</v>
      </c>
      <c r="B122" s="789"/>
      <c r="C122" s="706">
        <v>0</v>
      </c>
      <c r="D122" s="695">
        <f>SUM(D121:D121)</f>
        <v>0</v>
      </c>
      <c r="E122" s="696"/>
      <c r="F122" s="697">
        <f>SUM(F121:F121)</f>
        <v>0</v>
      </c>
    </row>
    <row r="123" spans="1:10" ht="24" customHeight="1" thickBot="1" x14ac:dyDescent="0.25">
      <c r="A123" s="790" t="s">
        <v>137</v>
      </c>
      <c r="B123" s="790"/>
      <c r="C123" s="790"/>
      <c r="D123" s="790"/>
      <c r="E123" s="790"/>
      <c r="F123" s="790"/>
    </row>
    <row r="124" spans="1:10" ht="19.5" customHeight="1" thickBot="1" x14ac:dyDescent="0.25">
      <c r="A124" s="791" t="s">
        <v>46</v>
      </c>
      <c r="B124" s="792" t="s">
        <v>47</v>
      </c>
      <c r="C124" s="793">
        <v>2022</v>
      </c>
      <c r="D124" s="794"/>
      <c r="E124" s="795"/>
      <c r="F124" s="797" t="s">
        <v>681</v>
      </c>
    </row>
    <row r="125" spans="1:10" ht="24" customHeight="1" thickBot="1" x14ac:dyDescent="0.25">
      <c r="A125" s="791"/>
      <c r="B125" s="792"/>
      <c r="C125" s="297" t="s">
        <v>48</v>
      </c>
      <c r="D125" s="297" t="s">
        <v>509</v>
      </c>
      <c r="E125" s="297" t="s">
        <v>384</v>
      </c>
      <c r="F125" s="797"/>
    </row>
    <row r="126" spans="1:10" ht="12.75" customHeight="1" x14ac:dyDescent="0.2">
      <c r="A126" s="86" t="s">
        <v>87</v>
      </c>
      <c r="B126" s="87" t="s">
        <v>88</v>
      </c>
      <c r="C126" s="351">
        <v>4000000</v>
      </c>
      <c r="D126" s="106">
        <f>F126-C126</f>
        <v>0</v>
      </c>
      <c r="E126" s="197">
        <f>F126/C126*100</f>
        <v>100</v>
      </c>
      <c r="F126" s="107">
        <v>4000000</v>
      </c>
    </row>
    <row r="127" spans="1:10" ht="12.75" customHeight="1" thickBot="1" x14ac:dyDescent="0.25">
      <c r="A127" s="102" t="s">
        <v>89</v>
      </c>
      <c r="B127" s="92" t="s">
        <v>90</v>
      </c>
      <c r="C127" s="418">
        <v>1080000</v>
      </c>
      <c r="D127" s="106">
        <f>F127-C127</f>
        <v>0</v>
      </c>
      <c r="E127" s="197">
        <f>F127/C127*100</f>
        <v>100</v>
      </c>
      <c r="F127" s="96">
        <v>1080000</v>
      </c>
    </row>
    <row r="128" spans="1:10" ht="18" customHeight="1" thickBot="1" x14ac:dyDescent="0.25">
      <c r="A128" s="789" t="s">
        <v>120</v>
      </c>
      <c r="B128" s="789"/>
      <c r="C128" s="707">
        <f>SUM(C126:C127)</f>
        <v>5080000</v>
      </c>
      <c r="D128" s="695">
        <f>SUM(D126:D127)</f>
        <v>0</v>
      </c>
      <c r="E128" s="696">
        <f>F128/C128*100</f>
        <v>100</v>
      </c>
      <c r="F128" s="697">
        <f>SUM(F126:F127)</f>
        <v>5080000</v>
      </c>
    </row>
    <row r="129" spans="1:6" ht="18" customHeight="1" thickBot="1" x14ac:dyDescent="0.25">
      <c r="A129" s="790" t="s">
        <v>602</v>
      </c>
      <c r="B129" s="790"/>
      <c r="C129" s="790"/>
      <c r="D129" s="790"/>
      <c r="E129" s="790"/>
      <c r="F129" s="790"/>
    </row>
    <row r="130" spans="1:6" ht="18" customHeight="1" thickBot="1" x14ac:dyDescent="0.25">
      <c r="A130" s="791" t="s">
        <v>46</v>
      </c>
      <c r="B130" s="792" t="s">
        <v>47</v>
      </c>
      <c r="C130" s="793">
        <v>2022</v>
      </c>
      <c r="D130" s="794"/>
      <c r="E130" s="795"/>
      <c r="F130" s="797" t="s">
        <v>681</v>
      </c>
    </row>
    <row r="131" spans="1:6" ht="18" customHeight="1" thickBot="1" x14ac:dyDescent="0.25">
      <c r="A131" s="791"/>
      <c r="B131" s="792"/>
      <c r="C131" s="297" t="s">
        <v>48</v>
      </c>
      <c r="D131" s="297" t="s">
        <v>509</v>
      </c>
      <c r="E131" s="297" t="s">
        <v>384</v>
      </c>
      <c r="F131" s="797"/>
    </row>
    <row r="132" spans="1:6" ht="18" customHeight="1" x14ac:dyDescent="0.2">
      <c r="A132" s="114" t="s">
        <v>718</v>
      </c>
      <c r="B132" s="87" t="s">
        <v>604</v>
      </c>
      <c r="C132" s="351">
        <v>0</v>
      </c>
      <c r="D132" s="106">
        <f>SUM(F132-C132)</f>
        <v>258000</v>
      </c>
      <c r="E132" s="197">
        <v>0</v>
      </c>
      <c r="F132" s="107">
        <v>258000</v>
      </c>
    </row>
    <row r="133" spans="1:6" ht="18" customHeight="1" thickBot="1" x14ac:dyDescent="0.25">
      <c r="A133" s="101" t="s">
        <v>89</v>
      </c>
      <c r="B133" s="439" t="s">
        <v>90</v>
      </c>
      <c r="C133" s="765">
        <v>0</v>
      </c>
      <c r="D133" s="106">
        <f>SUM(F133-C133)</f>
        <v>69660</v>
      </c>
      <c r="E133" s="766">
        <v>0</v>
      </c>
      <c r="F133" s="390">
        <v>69660</v>
      </c>
    </row>
    <row r="134" spans="1:6" ht="18" customHeight="1" thickBot="1" x14ac:dyDescent="0.25">
      <c r="A134" s="789" t="s">
        <v>120</v>
      </c>
      <c r="B134" s="789"/>
      <c r="C134" s="707">
        <f>SUM(C132)</f>
        <v>0</v>
      </c>
      <c r="D134" s="695">
        <f>SUM(D132:D133)</f>
        <v>327660</v>
      </c>
      <c r="E134" s="696">
        <v>0</v>
      </c>
      <c r="F134" s="697">
        <f>SUM(F132:F133)</f>
        <v>327660</v>
      </c>
    </row>
    <row r="135" spans="1:6" ht="18" customHeight="1" thickBot="1" x14ac:dyDescent="0.25">
      <c r="A135" s="790" t="s">
        <v>479</v>
      </c>
      <c r="B135" s="790"/>
      <c r="C135" s="790"/>
      <c r="D135" s="790"/>
      <c r="E135" s="790"/>
      <c r="F135" s="790"/>
    </row>
    <row r="136" spans="1:6" ht="18" customHeight="1" thickBot="1" x14ac:dyDescent="0.25">
      <c r="A136" s="791" t="s">
        <v>46</v>
      </c>
      <c r="B136" s="792" t="s">
        <v>47</v>
      </c>
      <c r="C136" s="793">
        <v>2022</v>
      </c>
      <c r="D136" s="794"/>
      <c r="E136" s="795"/>
      <c r="F136" s="797" t="s">
        <v>681</v>
      </c>
    </row>
    <row r="137" spans="1:6" ht="18" customHeight="1" thickBot="1" x14ac:dyDescent="0.25">
      <c r="A137" s="791"/>
      <c r="B137" s="792"/>
      <c r="C137" s="297" t="s">
        <v>48</v>
      </c>
      <c r="D137" s="297" t="s">
        <v>509</v>
      </c>
      <c r="E137" s="297" t="s">
        <v>384</v>
      </c>
      <c r="F137" s="797"/>
    </row>
    <row r="138" spans="1:6" ht="18" customHeight="1" thickBot="1" x14ac:dyDescent="0.25">
      <c r="A138" s="86" t="s">
        <v>87</v>
      </c>
      <c r="B138" s="87" t="s">
        <v>88</v>
      </c>
      <c r="C138" s="107">
        <v>0</v>
      </c>
      <c r="D138" s="106">
        <f>F138-C138</f>
        <v>0</v>
      </c>
      <c r="E138" s="197">
        <v>0</v>
      </c>
      <c r="F138" s="107">
        <v>0</v>
      </c>
    </row>
    <row r="139" spans="1:6" ht="18" customHeight="1" thickBot="1" x14ac:dyDescent="0.25">
      <c r="A139" s="789" t="s">
        <v>120</v>
      </c>
      <c r="B139" s="789"/>
      <c r="C139" s="707">
        <f>SUM(C138)</f>
        <v>0</v>
      </c>
      <c r="D139" s="695">
        <f>SUM(D138:D138)</f>
        <v>0</v>
      </c>
      <c r="E139" s="696">
        <v>0</v>
      </c>
      <c r="F139" s="697">
        <f>SUM(F138:F138)</f>
        <v>0</v>
      </c>
    </row>
    <row r="140" spans="1:6" ht="18" customHeight="1" thickBot="1" x14ac:dyDescent="0.25">
      <c r="A140" s="790" t="s">
        <v>452</v>
      </c>
      <c r="B140" s="790"/>
      <c r="C140" s="790"/>
      <c r="D140" s="790"/>
      <c r="E140" s="790"/>
      <c r="F140" s="790"/>
    </row>
    <row r="141" spans="1:6" ht="18" customHeight="1" thickBot="1" x14ac:dyDescent="0.25">
      <c r="A141" s="791" t="s">
        <v>46</v>
      </c>
      <c r="B141" s="792" t="s">
        <v>47</v>
      </c>
      <c r="C141" s="793">
        <v>2022</v>
      </c>
      <c r="D141" s="794"/>
      <c r="E141" s="795"/>
      <c r="F141" s="797" t="s">
        <v>681</v>
      </c>
    </row>
    <row r="142" spans="1:6" ht="18" customHeight="1" thickBot="1" x14ac:dyDescent="0.25">
      <c r="A142" s="791"/>
      <c r="B142" s="792"/>
      <c r="C142" s="297" t="s">
        <v>48</v>
      </c>
      <c r="D142" s="297" t="s">
        <v>509</v>
      </c>
      <c r="E142" s="297" t="s">
        <v>384</v>
      </c>
      <c r="F142" s="797"/>
    </row>
    <row r="143" spans="1:6" ht="18" customHeight="1" x14ac:dyDescent="0.2">
      <c r="A143" s="86" t="s">
        <v>87</v>
      </c>
      <c r="B143" s="87" t="s">
        <v>88</v>
      </c>
      <c r="C143" s="106">
        <v>300000</v>
      </c>
      <c r="D143" s="106">
        <f>F143-C143</f>
        <v>100000</v>
      </c>
      <c r="E143" s="197">
        <f>F143/C143*100</f>
        <v>133.33333333333331</v>
      </c>
      <c r="F143" s="107">
        <v>400000</v>
      </c>
    </row>
    <row r="144" spans="1:6" ht="18" customHeight="1" thickBot="1" x14ac:dyDescent="0.25">
      <c r="A144" s="102" t="s">
        <v>89</v>
      </c>
      <c r="B144" s="92" t="s">
        <v>90</v>
      </c>
      <c r="C144" s="95">
        <v>81000</v>
      </c>
      <c r="D144" s="106">
        <f>F144-C144</f>
        <v>27000</v>
      </c>
      <c r="E144" s="197">
        <f>F144/C144*100</f>
        <v>133.33333333333331</v>
      </c>
      <c r="F144" s="96">
        <v>108000</v>
      </c>
    </row>
    <row r="145" spans="1:6" ht="18" customHeight="1" thickBot="1" x14ac:dyDescent="0.25">
      <c r="A145" s="789" t="s">
        <v>120</v>
      </c>
      <c r="B145" s="789"/>
      <c r="C145" s="695">
        <f>SUM(C143:C144)</f>
        <v>381000</v>
      </c>
      <c r="D145" s="695">
        <f>SUM(D143:D144)</f>
        <v>127000</v>
      </c>
      <c r="E145" s="696">
        <f>F145/C145*100</f>
        <v>133.33333333333331</v>
      </c>
      <c r="F145" s="697">
        <f>SUM(F143:F144)</f>
        <v>508000</v>
      </c>
    </row>
    <row r="146" spans="1:6" ht="25.5" customHeight="1" thickBot="1" x14ac:dyDescent="0.25">
      <c r="A146" s="788" t="s">
        <v>138</v>
      </c>
      <c r="B146" s="788"/>
      <c r="C146" s="788"/>
      <c r="D146" s="788"/>
      <c r="E146" s="788"/>
      <c r="F146" s="788"/>
    </row>
    <row r="147" spans="1:6" ht="15.75" customHeight="1" thickBot="1" x14ac:dyDescent="0.25">
      <c r="A147" s="791" t="s">
        <v>46</v>
      </c>
      <c r="B147" s="792" t="s">
        <v>47</v>
      </c>
      <c r="C147" s="793">
        <v>2022</v>
      </c>
      <c r="D147" s="794"/>
      <c r="E147" s="795"/>
      <c r="F147" s="797" t="s">
        <v>681</v>
      </c>
    </row>
    <row r="148" spans="1:6" ht="26.25" customHeight="1" thickBot="1" x14ac:dyDescent="0.25">
      <c r="A148" s="791"/>
      <c r="B148" s="792"/>
      <c r="C148" s="297" t="s">
        <v>48</v>
      </c>
      <c r="D148" s="297" t="s">
        <v>509</v>
      </c>
      <c r="E148" s="297" t="s">
        <v>384</v>
      </c>
      <c r="F148" s="797"/>
    </row>
    <row r="149" spans="1:6" ht="21" customHeight="1" x14ac:dyDescent="0.2">
      <c r="A149" s="86" t="s">
        <v>66</v>
      </c>
      <c r="B149" s="87" t="s">
        <v>67</v>
      </c>
      <c r="C149" s="351">
        <v>5500000</v>
      </c>
      <c r="D149" s="106">
        <f t="shared" ref="D149:D159" si="5">F149-C149</f>
        <v>1500000</v>
      </c>
      <c r="E149" s="197">
        <f>F149/C149*100</f>
        <v>127.27272727272727</v>
      </c>
      <c r="F149" s="107">
        <v>7000000</v>
      </c>
    </row>
    <row r="150" spans="1:6" ht="22.5" customHeight="1" x14ac:dyDescent="0.2">
      <c r="A150" s="86" t="s">
        <v>68</v>
      </c>
      <c r="B150" s="87" t="s">
        <v>69</v>
      </c>
      <c r="C150" s="351">
        <v>45000000</v>
      </c>
      <c r="D150" s="106">
        <f t="shared" si="5"/>
        <v>10000000</v>
      </c>
      <c r="E150" s="197">
        <f t="shared" ref="E150" si="6">F150/C150*100</f>
        <v>122.22222222222223</v>
      </c>
      <c r="F150" s="113">
        <v>55000000</v>
      </c>
    </row>
    <row r="151" spans="1:6" ht="24.75" customHeight="1" x14ac:dyDescent="0.2">
      <c r="A151" s="86" t="s">
        <v>70</v>
      </c>
      <c r="B151" s="87" t="s">
        <v>71</v>
      </c>
      <c r="C151" s="351"/>
      <c r="D151" s="106">
        <f t="shared" si="5"/>
        <v>0</v>
      </c>
      <c r="E151" s="197">
        <v>0</v>
      </c>
      <c r="F151" s="107"/>
    </row>
    <row r="152" spans="1:6" ht="22.5" customHeight="1" x14ac:dyDescent="0.2">
      <c r="A152" s="114" t="s">
        <v>480</v>
      </c>
      <c r="B152" s="87" t="s">
        <v>481</v>
      </c>
      <c r="C152" s="351">
        <v>100000</v>
      </c>
      <c r="D152" s="106">
        <f t="shared" si="5"/>
        <v>100000</v>
      </c>
      <c r="E152" s="197">
        <v>0</v>
      </c>
      <c r="F152" s="107">
        <v>200000</v>
      </c>
    </row>
    <row r="153" spans="1:6" ht="22.5" customHeight="1" x14ac:dyDescent="0.2">
      <c r="A153" s="114" t="s">
        <v>574</v>
      </c>
      <c r="B153" s="87" t="s">
        <v>575</v>
      </c>
      <c r="C153" s="351"/>
      <c r="D153" s="106">
        <f t="shared" si="5"/>
        <v>0</v>
      </c>
      <c r="E153" s="197">
        <v>0</v>
      </c>
      <c r="F153" s="107"/>
    </row>
    <row r="154" spans="1:6" ht="33" customHeight="1" x14ac:dyDescent="0.2">
      <c r="A154" s="86" t="s">
        <v>72</v>
      </c>
      <c r="B154" s="87" t="s">
        <v>73</v>
      </c>
      <c r="C154" s="351"/>
      <c r="D154" s="106">
        <f t="shared" si="5"/>
        <v>0</v>
      </c>
      <c r="E154" s="197"/>
      <c r="F154" s="107"/>
    </row>
    <row r="155" spans="1:6" ht="12.75" customHeight="1" x14ac:dyDescent="0.2">
      <c r="A155" s="86" t="s">
        <v>74</v>
      </c>
      <c r="B155" s="87" t="s">
        <v>75</v>
      </c>
      <c r="C155" s="351"/>
      <c r="D155" s="106">
        <f t="shared" si="5"/>
        <v>0</v>
      </c>
      <c r="E155" s="197"/>
      <c r="F155" s="107"/>
    </row>
    <row r="156" spans="1:6" ht="12.75" customHeight="1" x14ac:dyDescent="0.2">
      <c r="A156" s="86" t="s">
        <v>76</v>
      </c>
      <c r="B156" s="87" t="s">
        <v>77</v>
      </c>
      <c r="C156" s="351">
        <v>300000</v>
      </c>
      <c r="D156" s="106">
        <f t="shared" si="5"/>
        <v>0</v>
      </c>
      <c r="E156" s="197">
        <f>F156/C156*100</f>
        <v>100</v>
      </c>
      <c r="F156" s="107">
        <v>300000</v>
      </c>
    </row>
    <row r="157" spans="1:6" ht="12.75" customHeight="1" x14ac:dyDescent="0.2">
      <c r="A157" s="86" t="s">
        <v>78</v>
      </c>
      <c r="B157" s="87" t="s">
        <v>79</v>
      </c>
      <c r="C157" s="351"/>
      <c r="D157" s="106">
        <f t="shared" si="5"/>
        <v>0</v>
      </c>
      <c r="E157" s="197"/>
      <c r="F157" s="107"/>
    </row>
    <row r="158" spans="1:6" ht="12.75" customHeight="1" x14ac:dyDescent="0.2">
      <c r="A158" s="86" t="s">
        <v>93</v>
      </c>
      <c r="B158" s="87" t="s">
        <v>94</v>
      </c>
      <c r="C158" s="351"/>
      <c r="D158" s="106">
        <f t="shared" si="5"/>
        <v>0</v>
      </c>
      <c r="E158" s="197"/>
      <c r="F158" s="107"/>
    </row>
    <row r="159" spans="1:6" ht="21.75" thickBot="1" x14ac:dyDescent="0.25">
      <c r="A159" s="102" t="s">
        <v>97</v>
      </c>
      <c r="B159" s="92" t="s">
        <v>98</v>
      </c>
      <c r="C159" s="418"/>
      <c r="D159" s="106">
        <f t="shared" si="5"/>
        <v>0</v>
      </c>
      <c r="E159" s="197"/>
      <c r="F159" s="96"/>
    </row>
    <row r="160" spans="1:6" ht="17.25" customHeight="1" thickBot="1" x14ac:dyDescent="0.25">
      <c r="A160" s="789" t="s">
        <v>120</v>
      </c>
      <c r="B160" s="789"/>
      <c r="C160" s="707">
        <f>SUM(C149:C159)</f>
        <v>50900000</v>
      </c>
      <c r="D160" s="695">
        <f>SUM(D149:D159)</f>
        <v>11600000</v>
      </c>
      <c r="E160" s="696">
        <f>F160/C160*100</f>
        <v>122.78978388998037</v>
      </c>
      <c r="F160" s="697">
        <f>SUM(F149:F159)</f>
        <v>62500000</v>
      </c>
    </row>
    <row r="161" spans="1:6" ht="21.75" customHeight="1" thickBot="1" x14ac:dyDescent="0.25">
      <c r="D161" s="77"/>
      <c r="E161" s="77"/>
      <c r="F161" s="115"/>
    </row>
    <row r="162" spans="1:6" ht="20.25" customHeight="1" thickBot="1" x14ac:dyDescent="0.25">
      <c r="A162" s="796" t="s">
        <v>140</v>
      </c>
      <c r="B162" s="796"/>
      <c r="C162" s="116">
        <f>C34+C40+C80+C86+C91+C102+C117+C122+C128+C160+C145+C139+C112+C96+C107</f>
        <v>571700664</v>
      </c>
      <c r="D162" s="116">
        <f>D34+D40+D80+D86+D91+D102+D117+D122+D128+D160+D145+D139+D112+D96+D107+D134</f>
        <v>95608444</v>
      </c>
      <c r="E162" s="399">
        <f>F162/C162*100</f>
        <v>116.76595463950694</v>
      </c>
      <c r="F162" s="117">
        <f>F34+F40+F80+F86+F91+F102+F117+F122+F128+F160+F145+F139+F112+F96+F107+F134</f>
        <v>667551738</v>
      </c>
    </row>
    <row r="165" spans="1:6" x14ac:dyDescent="0.2">
      <c r="F165" s="401">
        <f>F162-'Kiadások részletes COFOG'!F503</f>
        <v>0</v>
      </c>
    </row>
    <row r="166" spans="1:6" x14ac:dyDescent="0.2">
      <c r="B166" s="118"/>
      <c r="C166" s="118"/>
      <c r="D166" s="119"/>
    </row>
    <row r="167" spans="1:6" x14ac:dyDescent="0.2">
      <c r="D167" s="77"/>
    </row>
    <row r="168" spans="1:6" x14ac:dyDescent="0.2">
      <c r="D168" s="77"/>
    </row>
    <row r="169" spans="1:6" x14ac:dyDescent="0.2">
      <c r="D169" s="77"/>
      <c r="E169" s="120"/>
    </row>
    <row r="170" spans="1:6" x14ac:dyDescent="0.2">
      <c r="D170" s="77"/>
    </row>
  </sheetData>
  <autoFilter ref="A1:A170" xr:uid="{00000000-0009-0000-0000-000002000000}"/>
  <mergeCells count="101">
    <mergeCell ref="A117:B117"/>
    <mergeCell ref="A118:F118"/>
    <mergeCell ref="A119:A120"/>
    <mergeCell ref="B119:B120"/>
    <mergeCell ref="F119:F120"/>
    <mergeCell ref="C119:E119"/>
    <mergeCell ref="A135:F135"/>
    <mergeCell ref="A136:A137"/>
    <mergeCell ref="B136:B137"/>
    <mergeCell ref="F136:F137"/>
    <mergeCell ref="C136:E136"/>
    <mergeCell ref="A122:B122"/>
    <mergeCell ref="A123:F123"/>
    <mergeCell ref="A124:A125"/>
    <mergeCell ref="B124:B125"/>
    <mergeCell ref="F124:F125"/>
    <mergeCell ref="C124:E124"/>
    <mergeCell ref="A128:B128"/>
    <mergeCell ref="A129:F129"/>
    <mergeCell ref="A130:A131"/>
    <mergeCell ref="B130:B131"/>
    <mergeCell ref="C130:E130"/>
    <mergeCell ref="F130:F131"/>
    <mergeCell ref="A134:B134"/>
    <mergeCell ref="C8:E8"/>
    <mergeCell ref="C36:E36"/>
    <mergeCell ref="C42:E42"/>
    <mergeCell ref="C82:E82"/>
    <mergeCell ref="F141:F142"/>
    <mergeCell ref="A145:B145"/>
    <mergeCell ref="A2:F2"/>
    <mergeCell ref="A3:F3"/>
    <mergeCell ref="A5:F5"/>
    <mergeCell ref="A7:F7"/>
    <mergeCell ref="A8:A9"/>
    <mergeCell ref="B8:B9"/>
    <mergeCell ref="F8:F9"/>
    <mergeCell ref="A17:A18"/>
    <mergeCell ref="A34:B34"/>
    <mergeCell ref="A35:F35"/>
    <mergeCell ref="A36:A37"/>
    <mergeCell ref="B36:B37"/>
    <mergeCell ref="F36:F37"/>
    <mergeCell ref="A40:B40"/>
    <mergeCell ref="A41:F41"/>
    <mergeCell ref="A42:A43"/>
    <mergeCell ref="B42:B43"/>
    <mergeCell ref="F42:F43"/>
    <mergeCell ref="A80:B80"/>
    <mergeCell ref="A81:F81"/>
    <mergeCell ref="A82:A83"/>
    <mergeCell ref="B82:B83"/>
    <mergeCell ref="F82:F83"/>
    <mergeCell ref="A86:B86"/>
    <mergeCell ref="A87:F87"/>
    <mergeCell ref="A88:A89"/>
    <mergeCell ref="B88:B89"/>
    <mergeCell ref="F88:F89"/>
    <mergeCell ref="C88:E88"/>
    <mergeCell ref="A91:B91"/>
    <mergeCell ref="A97:F97"/>
    <mergeCell ref="A98:A99"/>
    <mergeCell ref="B98:B99"/>
    <mergeCell ref="F98:F99"/>
    <mergeCell ref="A92:F92"/>
    <mergeCell ref="A93:A94"/>
    <mergeCell ref="B93:B94"/>
    <mergeCell ref="F93:F94"/>
    <mergeCell ref="A96:B96"/>
    <mergeCell ref="C93:E93"/>
    <mergeCell ref="C98:E98"/>
    <mergeCell ref="A102:B102"/>
    <mergeCell ref="A113:F113"/>
    <mergeCell ref="A114:A115"/>
    <mergeCell ref="B114:B115"/>
    <mergeCell ref="F114:F115"/>
    <mergeCell ref="A108:F108"/>
    <mergeCell ref="A109:A110"/>
    <mergeCell ref="B109:B110"/>
    <mergeCell ref="F109:F110"/>
    <mergeCell ref="A112:B112"/>
    <mergeCell ref="C109:E109"/>
    <mergeCell ref="C114:E114"/>
    <mergeCell ref="A103:F103"/>
    <mergeCell ref="A104:A105"/>
    <mergeCell ref="B104:B105"/>
    <mergeCell ref="C104:E104"/>
    <mergeCell ref="F104:F105"/>
    <mergeCell ref="A107:B107"/>
    <mergeCell ref="A146:F146"/>
    <mergeCell ref="A139:B139"/>
    <mergeCell ref="A140:F140"/>
    <mergeCell ref="A141:A142"/>
    <mergeCell ref="B141:B142"/>
    <mergeCell ref="C141:E141"/>
    <mergeCell ref="A162:B162"/>
    <mergeCell ref="A160:B160"/>
    <mergeCell ref="A147:A148"/>
    <mergeCell ref="B147:B148"/>
    <mergeCell ref="F147:F148"/>
    <mergeCell ref="C147:E147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73" firstPageNumber="0" orientation="portrait" r:id="rId1"/>
  <headerFooter>
    <oddHeader>&amp;R2020.01.hó</oddHeader>
  </headerFooter>
  <rowBreaks count="3" manualBreakCount="3">
    <brk id="40" max="16383" man="1"/>
    <brk id="86" max="5" man="1"/>
    <brk id="139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  <pageSetUpPr fitToPage="1"/>
  </sheetPr>
  <dimension ref="A1:K84"/>
  <sheetViews>
    <sheetView showGridLines="0" tabSelected="1" topLeftCell="A58" zoomScaleNormal="100" workbookViewId="0">
      <selection activeCell="I78" sqref="I78"/>
    </sheetView>
  </sheetViews>
  <sheetFormatPr defaultRowHeight="12.75" x14ac:dyDescent="0.2"/>
  <cols>
    <col min="1" max="1" width="11.85546875" customWidth="1"/>
    <col min="2" max="2" width="40.42578125" customWidth="1"/>
    <col min="3" max="3" width="16.5703125" customWidth="1"/>
    <col min="4" max="4" width="14.7109375" customWidth="1"/>
    <col min="5" max="5" width="12.140625" customWidth="1"/>
    <col min="6" max="6" width="17.140625" customWidth="1"/>
    <col min="7" max="7" width="18.85546875" customWidth="1"/>
    <col min="8" max="10" width="8.42578125" customWidth="1"/>
    <col min="11" max="11" width="8.7109375" customWidth="1"/>
    <col min="12" max="1024" width="8.42578125" customWidth="1"/>
  </cols>
  <sheetData>
    <row r="1" spans="1:7" ht="19.5" customHeight="1" x14ac:dyDescent="0.2">
      <c r="F1" s="294" t="s">
        <v>141</v>
      </c>
    </row>
    <row r="2" spans="1:7" ht="15.75" x14ac:dyDescent="0.25">
      <c r="A2" s="782" t="s">
        <v>680</v>
      </c>
      <c r="B2" s="782"/>
      <c r="C2" s="782"/>
      <c r="D2" s="782"/>
      <c r="E2" s="782"/>
      <c r="F2" s="782"/>
    </row>
    <row r="3" spans="1:7" ht="15.75" x14ac:dyDescent="0.25">
      <c r="A3" s="782" t="s">
        <v>390</v>
      </c>
      <c r="B3" s="782"/>
      <c r="C3" s="782"/>
      <c r="D3" s="782"/>
      <c r="E3" s="782"/>
      <c r="F3" s="782"/>
    </row>
    <row r="4" spans="1:7" ht="14.25" customHeight="1" thickBot="1" x14ac:dyDescent="0.25">
      <c r="A4" s="120"/>
      <c r="B4" s="120"/>
      <c r="C4" s="120"/>
      <c r="D4" s="120"/>
      <c r="E4" s="120"/>
      <c r="F4" s="50" t="s">
        <v>45</v>
      </c>
    </row>
    <row r="5" spans="1:7" ht="20.25" customHeight="1" thickBot="1" x14ac:dyDescent="0.25">
      <c r="A5" s="814" t="s">
        <v>3</v>
      </c>
      <c r="B5" s="814"/>
      <c r="C5" s="814"/>
      <c r="D5" s="814"/>
      <c r="E5" s="814"/>
      <c r="F5" s="814"/>
    </row>
    <row r="6" spans="1:7" ht="15.75" customHeight="1" thickBot="1" x14ac:dyDescent="0.25">
      <c r="A6" s="791" t="s">
        <v>46</v>
      </c>
      <c r="B6" s="792" t="s">
        <v>47</v>
      </c>
      <c r="C6" s="816">
        <v>2022</v>
      </c>
      <c r="D6" s="817"/>
      <c r="E6" s="818"/>
      <c r="F6" s="815" t="s">
        <v>681</v>
      </c>
    </row>
    <row r="7" spans="1:7" ht="21.75" customHeight="1" thickBot="1" x14ac:dyDescent="0.25">
      <c r="A7" s="791"/>
      <c r="B7" s="792"/>
      <c r="C7" s="51" t="s">
        <v>48</v>
      </c>
      <c r="D7" s="51" t="s">
        <v>509</v>
      </c>
      <c r="E7" s="52" t="s">
        <v>384</v>
      </c>
      <c r="F7" s="815"/>
      <c r="G7" s="121"/>
    </row>
    <row r="8" spans="1:7" ht="20.100000000000001" customHeight="1" x14ac:dyDescent="0.2">
      <c r="A8" s="53" t="s">
        <v>142</v>
      </c>
      <c r="B8" s="54" t="s">
        <v>143</v>
      </c>
      <c r="C8" s="570">
        <f>'Kiadások COFOG szerint'!C191+'Kiadások COFOG szerint'!C246+'Kiadások COFOG szerint'!C291</f>
        <v>13550000</v>
      </c>
      <c r="D8" s="646">
        <f t="shared" ref="D8:D19" si="0">F8-C8</f>
        <v>-2240000</v>
      </c>
      <c r="E8" s="613">
        <f t="shared" ref="E8:E15" si="1">F8/C8*100</f>
        <v>83.46863468634686</v>
      </c>
      <c r="F8" s="567">
        <f>'Kiadások COFOG szerint'!F191+'Kiadások COFOG szerint'!F246+'Kiadások COFOG szerint'!F291</f>
        <v>11310000</v>
      </c>
      <c r="G8" s="122"/>
    </row>
    <row r="9" spans="1:7" ht="20.100000000000001" customHeight="1" x14ac:dyDescent="0.2">
      <c r="A9" s="57" t="s">
        <v>144</v>
      </c>
      <c r="B9" s="58" t="s">
        <v>145</v>
      </c>
      <c r="C9" s="571">
        <f>'Kiadások COFOG szerint'!C10+'Kiadások COFOG szerint'!C113+'Kiadások COFOG szerint'!C123+'Kiadások COFOG szerint'!C165</f>
        <v>8160000</v>
      </c>
      <c r="D9" s="299">
        <f t="shared" si="0"/>
        <v>-605650</v>
      </c>
      <c r="E9" s="613">
        <f t="shared" si="1"/>
        <v>92.577818627450981</v>
      </c>
      <c r="F9" s="566">
        <f>'Kiadások COFOG szerint'!F10+'Kiadások COFOG szerint'!F113+'Kiadások COFOG szerint'!F123+'Kiadások COFOG szerint'!F165</f>
        <v>7554350</v>
      </c>
      <c r="G9" s="123"/>
    </row>
    <row r="10" spans="1:7" ht="20.100000000000001" customHeight="1" x14ac:dyDescent="0.2">
      <c r="A10" s="57" t="s">
        <v>698</v>
      </c>
      <c r="B10" s="58" t="s">
        <v>703</v>
      </c>
      <c r="C10" s="571">
        <v>0</v>
      </c>
      <c r="D10" s="299">
        <f t="shared" si="0"/>
        <v>400000</v>
      </c>
      <c r="E10" s="613">
        <v>0</v>
      </c>
      <c r="F10" s="566">
        <f>SUM('Kiadások COFOG szerint'!F166+'Kiadások COFOG szerint'!F192)</f>
        <v>400000</v>
      </c>
      <c r="G10" s="123"/>
    </row>
    <row r="11" spans="1:7" ht="20.100000000000001" customHeight="1" x14ac:dyDescent="0.2">
      <c r="A11" s="57" t="s">
        <v>422</v>
      </c>
      <c r="B11" s="58" t="s">
        <v>423</v>
      </c>
      <c r="C11" s="571">
        <f>'Kiadások COFOG szerint'!C193</f>
        <v>200000</v>
      </c>
      <c r="D11" s="299">
        <f t="shared" si="0"/>
        <v>-100000</v>
      </c>
      <c r="E11" s="613">
        <f t="shared" si="1"/>
        <v>50</v>
      </c>
      <c r="F11" s="566">
        <f>'Kiadások COFOG szerint'!F193</f>
        <v>100000</v>
      </c>
      <c r="G11" s="123"/>
    </row>
    <row r="12" spans="1:7" ht="20.100000000000001" customHeight="1" x14ac:dyDescent="0.2">
      <c r="A12" s="57" t="s">
        <v>535</v>
      </c>
      <c r="B12" s="58" t="s">
        <v>536</v>
      </c>
      <c r="C12" s="571">
        <f>'Kiadások COFOG szerint'!C194</f>
        <v>0</v>
      </c>
      <c r="D12" s="299">
        <f t="shared" si="0"/>
        <v>0</v>
      </c>
      <c r="E12" s="613">
        <v>0</v>
      </c>
      <c r="F12" s="566">
        <f>'Kiadások COFOG szerint'!F194</f>
        <v>0</v>
      </c>
      <c r="G12" s="123"/>
    </row>
    <row r="13" spans="1:7" ht="20.100000000000001" customHeight="1" x14ac:dyDescent="0.2">
      <c r="A13" s="57" t="s">
        <v>424</v>
      </c>
      <c r="B13" s="58" t="s">
        <v>483</v>
      </c>
      <c r="C13" s="571">
        <f>'Kiadások COFOG szerint'!C195+'Kiadások COFOG szerint'!C247+'Kiadások COFOG szerint'!C167+'Kiadások COFOG szerint'!C292</f>
        <v>450000</v>
      </c>
      <c r="D13" s="299">
        <f t="shared" si="0"/>
        <v>-100000</v>
      </c>
      <c r="E13" s="613">
        <f t="shared" si="1"/>
        <v>77.777777777777786</v>
      </c>
      <c r="F13" s="566">
        <f>'Kiadások COFOG szerint'!F195+'Kiadások COFOG szerint'!F247+'Kiadások COFOG szerint'!F292+'Kiadások COFOG szerint'!F167</f>
        <v>350000</v>
      </c>
      <c r="G13" s="122"/>
    </row>
    <row r="14" spans="1:7" ht="20.100000000000001" customHeight="1" x14ac:dyDescent="0.2">
      <c r="A14" s="57" t="s">
        <v>146</v>
      </c>
      <c r="B14" s="58" t="s">
        <v>147</v>
      </c>
      <c r="C14" s="571">
        <f>'Kiadások COFOG szerint'!C196</f>
        <v>0</v>
      </c>
      <c r="D14" s="299">
        <f t="shared" si="0"/>
        <v>0</v>
      </c>
      <c r="E14" s="613">
        <v>0</v>
      </c>
      <c r="F14" s="566">
        <f>'Kiadások COFOG szerint'!F196</f>
        <v>0</v>
      </c>
      <c r="G14" s="122"/>
    </row>
    <row r="15" spans="1:7" ht="20.100000000000001" customHeight="1" x14ac:dyDescent="0.2">
      <c r="A15" s="57" t="s">
        <v>148</v>
      </c>
      <c r="B15" s="58" t="s">
        <v>149</v>
      </c>
      <c r="C15" s="571">
        <f>'Kiadások COFOG szerint'!C168+'Kiadások COFOG szerint'!C197+'Kiadások COFOG szerint'!C248+'Kiadások COFOG szerint'!C293</f>
        <v>48000</v>
      </c>
      <c r="D15" s="299">
        <f t="shared" si="0"/>
        <v>-48000</v>
      </c>
      <c r="E15" s="613">
        <f t="shared" si="1"/>
        <v>0</v>
      </c>
      <c r="F15" s="566">
        <f>'Kiadások COFOG szerint'!F168+'Kiadások COFOG szerint'!F197+'Kiadások COFOG szerint'!F248+'Kiadások COFOG szerint'!F293</f>
        <v>0</v>
      </c>
      <c r="G15" s="122"/>
    </row>
    <row r="16" spans="1:7" ht="20.100000000000001" customHeight="1" x14ac:dyDescent="0.2">
      <c r="A16" s="57" t="s">
        <v>150</v>
      </c>
      <c r="B16" s="58" t="s">
        <v>151</v>
      </c>
      <c r="C16" s="571">
        <f>'Kiadások COFOG szerint'!C249+'Kiadások COFOG szerint'!C124+'Kiadások COFOG szerint'!C169+'Kiadások COFOG szerint'!C198</f>
        <v>578000</v>
      </c>
      <c r="D16" s="299">
        <f t="shared" si="0"/>
        <v>-158000</v>
      </c>
      <c r="E16" s="613">
        <f t="shared" ref="E16:E21" si="2">F16/C16*100</f>
        <v>72.664359861591691</v>
      </c>
      <c r="F16" s="566">
        <f>'Kiadások COFOG szerint'!F124+'Kiadások COFOG szerint'!F169+'Kiadások COFOG szerint'!F198+'Kiadások COFOG szerint'!F249</f>
        <v>420000</v>
      </c>
      <c r="G16" s="123"/>
    </row>
    <row r="17" spans="1:7" ht="20.100000000000001" customHeight="1" x14ac:dyDescent="0.2">
      <c r="A17" s="57" t="s">
        <v>152</v>
      </c>
      <c r="B17" s="58" t="s">
        <v>153</v>
      </c>
      <c r="C17" s="571">
        <f>'Kiadások COFOG szerint'!C14</f>
        <v>20900000</v>
      </c>
      <c r="D17" s="299">
        <f t="shared" si="0"/>
        <v>410000</v>
      </c>
      <c r="E17" s="613">
        <f t="shared" si="2"/>
        <v>101.96172248803828</v>
      </c>
      <c r="F17" s="566">
        <f>'Kiadások COFOG szerint'!F14</f>
        <v>21310000</v>
      </c>
      <c r="G17" s="122"/>
    </row>
    <row r="18" spans="1:7" ht="27" customHeight="1" x14ac:dyDescent="0.2">
      <c r="A18" s="57" t="s">
        <v>154</v>
      </c>
      <c r="B18" s="58" t="s">
        <v>155</v>
      </c>
      <c r="C18" s="571">
        <f>'Kiadások COFOG szerint'!C15+'Kiadások COFOG szerint'!C199+'Kiadások COFOG szerint'!C229+'Kiadások COFOG szerint'!C294</f>
        <v>4781820</v>
      </c>
      <c r="D18" s="299">
        <f t="shared" si="0"/>
        <v>178180</v>
      </c>
      <c r="E18" s="613">
        <f t="shared" si="2"/>
        <v>103.72619630182652</v>
      </c>
      <c r="F18" s="566">
        <f>'Kiadások COFOG szerint'!F15+'Kiadások COFOG szerint'!F199+'Kiadások COFOG szerint'!F229+'Kiadások COFOG szerint'!F294</f>
        <v>4960000</v>
      </c>
      <c r="G18" s="122"/>
    </row>
    <row r="19" spans="1:7" ht="20.100000000000001" customHeight="1" thickBot="1" x14ac:dyDescent="0.25">
      <c r="A19" s="61" t="s">
        <v>156</v>
      </c>
      <c r="B19" s="62" t="s">
        <v>157</v>
      </c>
      <c r="C19" s="574">
        <f>'Kiadások COFOG szerint'!C16+'Kiadások COFOG szerint'!C90</f>
        <v>450000</v>
      </c>
      <c r="D19" s="488">
        <f t="shared" si="0"/>
        <v>100000</v>
      </c>
      <c r="E19" s="613">
        <f t="shared" si="2"/>
        <v>122.22222222222223</v>
      </c>
      <c r="F19" s="568">
        <f>'Kiadások COFOG szerint'!F16+'Kiadások COFOG szerint'!F90</f>
        <v>550000</v>
      </c>
      <c r="G19" s="122"/>
    </row>
    <row r="20" spans="1:7" ht="24.95" customHeight="1" thickBot="1" x14ac:dyDescent="0.25">
      <c r="A20" s="810" t="s">
        <v>9</v>
      </c>
      <c r="B20" s="810"/>
      <c r="C20" s="425">
        <f>SUM(C8:C19)</f>
        <v>49117820</v>
      </c>
      <c r="D20" s="124">
        <f>SUM(D8:D19)</f>
        <v>-2163470</v>
      </c>
      <c r="E20" s="614">
        <f t="shared" si="2"/>
        <v>95.595346047524103</v>
      </c>
      <c r="F20" s="127">
        <f>SUM(F8:F19)</f>
        <v>46954350</v>
      </c>
      <c r="G20" s="123"/>
    </row>
    <row r="21" spans="1:7" ht="20.100000000000001" customHeight="1" thickBot="1" x14ac:dyDescent="0.25">
      <c r="A21" s="53" t="s">
        <v>158</v>
      </c>
      <c r="B21" s="54" t="s">
        <v>159</v>
      </c>
      <c r="C21" s="576">
        <f>'Kiadások COFOG szerint'!C18+'Kiadások COFOG szerint'!C114+'Kiadások COFOG szerint'!C125+'Kiadások COFOG szerint'!C170+'Kiadások COFOG szerint'!C200+'Kiadások COFOG szerint'!C230+'Kiadások COFOG szerint'!C250+'Kiadások COFOG szerint'!C295+'Kiadások COFOG szerint'!C91</f>
        <v>6812000</v>
      </c>
      <c r="D21" s="298">
        <f>F21-C21</f>
        <v>-247000</v>
      </c>
      <c r="E21" s="615">
        <f t="shared" si="2"/>
        <v>96.374045801526719</v>
      </c>
      <c r="F21" s="567">
        <f>'Kiadások COFOG szerint'!F18+'Kiadások COFOG szerint'!F114+'Kiadások COFOG szerint'!F125+'Kiadások COFOG szerint'!F170+'Kiadások COFOG szerint'!F200+'Kiadások COFOG szerint'!F230+'Kiadások COFOG szerint'!F250+'Kiadások COFOG szerint'!F295+'Kiadások COFOG szerint'!F91</f>
        <v>6565000</v>
      </c>
      <c r="G21" s="122"/>
    </row>
    <row r="22" spans="1:7" ht="24.95" customHeight="1" thickBot="1" x14ac:dyDescent="0.25">
      <c r="A22" s="810" t="s">
        <v>13</v>
      </c>
      <c r="B22" s="810"/>
      <c r="C22" s="425">
        <f>SUM(C21:C21)</f>
        <v>6812000</v>
      </c>
      <c r="D22" s="124">
        <f>SUM(D21:D21)</f>
        <v>-247000</v>
      </c>
      <c r="E22" s="614">
        <f t="shared" ref="E22:E36" si="3">F22/C22*100</f>
        <v>96.374045801526719</v>
      </c>
      <c r="F22" s="125">
        <f>SUM(F21:F21)</f>
        <v>6565000</v>
      </c>
      <c r="G22" s="123"/>
    </row>
    <row r="23" spans="1:7" ht="20.100000000000001" customHeight="1" x14ac:dyDescent="0.2">
      <c r="A23" s="53" t="s">
        <v>162</v>
      </c>
      <c r="B23" s="54" t="s">
        <v>163</v>
      </c>
      <c r="C23" s="576">
        <f>'Kiadások COFOG szerint'!C20+'Kiadások COFOG szerint'!C201</f>
        <v>160000</v>
      </c>
      <c r="D23" s="572">
        <f t="shared" ref="D23:D50" si="4">F23-C23</f>
        <v>70000</v>
      </c>
      <c r="E23" s="616">
        <f t="shared" si="3"/>
        <v>143.75</v>
      </c>
      <c r="F23" s="567">
        <f>'Kiadások COFOG szerint'!F20+'Kiadások COFOG szerint'!F201</f>
        <v>230000</v>
      </c>
      <c r="G23" s="122"/>
    </row>
    <row r="24" spans="1:7" ht="20.100000000000001" hidden="1" customHeight="1" x14ac:dyDescent="0.2">
      <c r="A24" s="57" t="s">
        <v>164</v>
      </c>
      <c r="B24" s="58" t="s">
        <v>165</v>
      </c>
      <c r="C24" s="577"/>
      <c r="D24" s="572">
        <f t="shared" si="4"/>
        <v>0</v>
      </c>
      <c r="E24" s="616" t="e">
        <f t="shared" si="3"/>
        <v>#DIV/0!</v>
      </c>
      <c r="F24" s="566"/>
      <c r="G24" s="123"/>
    </row>
    <row r="25" spans="1:7" ht="20.100000000000001" hidden="1" customHeight="1" x14ac:dyDescent="0.2">
      <c r="A25" s="57" t="s">
        <v>166</v>
      </c>
      <c r="B25" s="58" t="s">
        <v>167</v>
      </c>
      <c r="C25" s="577"/>
      <c r="D25" s="572">
        <f t="shared" si="4"/>
        <v>0</v>
      </c>
      <c r="E25" s="616" t="e">
        <f t="shared" si="3"/>
        <v>#DIV/0!</v>
      </c>
      <c r="F25" s="566"/>
      <c r="G25" s="123"/>
    </row>
    <row r="26" spans="1:7" ht="20.100000000000001" hidden="1" customHeight="1" x14ac:dyDescent="0.2">
      <c r="A26" s="57" t="s">
        <v>168</v>
      </c>
      <c r="B26" s="58" t="s">
        <v>169</v>
      </c>
      <c r="C26" s="577"/>
      <c r="D26" s="572">
        <f t="shared" si="4"/>
        <v>0</v>
      </c>
      <c r="E26" s="616" t="e">
        <f t="shared" si="3"/>
        <v>#DIV/0!</v>
      </c>
      <c r="F26" s="566"/>
      <c r="G26" s="123"/>
    </row>
    <row r="27" spans="1:7" ht="20.100000000000001" customHeight="1" x14ac:dyDescent="0.2">
      <c r="A27" s="57" t="s">
        <v>170</v>
      </c>
      <c r="B27" s="58" t="s">
        <v>171</v>
      </c>
      <c r="C27" s="571">
        <f>SUM('Kiadások COFOG szerint'!C21+'Kiadások COFOG szerint'!C60+'Kiadások COFOG szerint'!C75+'Kiadások COFOG szerint'!C92+'Kiadások COFOG szerint'!C115+'Kiadások COFOG szerint'!C126+'Kiadások COFOG szerint'!C132+'Kiadások COFOG szerint'!C157+'Kiadások COFOG szerint'!C172+'Kiadások COFOG szerint'!C202+'Kiadások COFOG szerint'!C232+'Kiadások COFOG szerint'!C251+'Kiadások COFOG szerint'!C302)</f>
        <v>7250000</v>
      </c>
      <c r="D27" s="572">
        <f t="shared" si="4"/>
        <v>1676000</v>
      </c>
      <c r="E27" s="616">
        <f t="shared" si="3"/>
        <v>123.11724137931034</v>
      </c>
      <c r="F27" s="566">
        <f>SUM('Kiadások COFOG szerint'!F21+'Kiadások COFOG szerint'!F60+'Kiadások COFOG szerint'!F75+'Kiadások COFOG szerint'!F92+'Kiadások COFOG szerint'!F115+'Kiadások COFOG szerint'!F126+'Kiadások COFOG szerint'!F132+'Kiadások COFOG szerint'!F157+'Kiadások COFOG szerint'!F172+'Kiadások COFOG szerint'!F202+'Kiadások COFOG szerint'!F232+'Kiadások COFOG szerint'!F251+'Kiadások COFOG szerint'!F302)</f>
        <v>8926000</v>
      </c>
      <c r="G27" s="123"/>
    </row>
    <row r="28" spans="1:7" ht="20.100000000000001" hidden="1" customHeight="1" x14ac:dyDescent="0.2">
      <c r="A28" s="57" t="s">
        <v>172</v>
      </c>
      <c r="B28" s="126" t="s">
        <v>173</v>
      </c>
      <c r="C28" s="426"/>
      <c r="D28" s="572">
        <f t="shared" si="4"/>
        <v>0</v>
      </c>
      <c r="E28" s="616" t="e">
        <f t="shared" si="3"/>
        <v>#DIV/0!</v>
      </c>
      <c r="F28" s="566"/>
      <c r="G28" s="123"/>
    </row>
    <row r="29" spans="1:7" ht="20.100000000000001" hidden="1" customHeight="1" x14ac:dyDescent="0.2">
      <c r="A29" s="57" t="s">
        <v>174</v>
      </c>
      <c r="B29" s="126" t="s">
        <v>175</v>
      </c>
      <c r="C29" s="426"/>
      <c r="D29" s="572">
        <f t="shared" si="4"/>
        <v>0</v>
      </c>
      <c r="E29" s="616" t="e">
        <f t="shared" si="3"/>
        <v>#DIV/0!</v>
      </c>
      <c r="F29" s="566"/>
      <c r="G29" s="123"/>
    </row>
    <row r="30" spans="1:7" ht="20.100000000000001" hidden="1" customHeight="1" x14ac:dyDescent="0.2">
      <c r="A30" s="57" t="s">
        <v>176</v>
      </c>
      <c r="B30" s="126" t="s">
        <v>177</v>
      </c>
      <c r="C30" s="426"/>
      <c r="D30" s="572">
        <f t="shared" si="4"/>
        <v>0</v>
      </c>
      <c r="E30" s="616" t="e">
        <f t="shared" si="3"/>
        <v>#DIV/0!</v>
      </c>
      <c r="F30" s="566"/>
      <c r="G30" s="123"/>
    </row>
    <row r="31" spans="1:7" ht="20.100000000000001" hidden="1" customHeight="1" x14ac:dyDescent="0.2">
      <c r="A31" s="57" t="s">
        <v>178</v>
      </c>
      <c r="B31" s="126" t="s">
        <v>179</v>
      </c>
      <c r="C31" s="426"/>
      <c r="D31" s="572">
        <f t="shared" si="4"/>
        <v>0</v>
      </c>
      <c r="E31" s="616" t="e">
        <f t="shared" si="3"/>
        <v>#DIV/0!</v>
      </c>
      <c r="F31" s="566"/>
      <c r="G31" s="123"/>
    </row>
    <row r="32" spans="1:7" ht="20.100000000000001" hidden="1" customHeight="1" x14ac:dyDescent="0.2">
      <c r="A32" s="57" t="s">
        <v>180</v>
      </c>
      <c r="B32" s="126" t="s">
        <v>181</v>
      </c>
      <c r="C32" s="426"/>
      <c r="D32" s="572">
        <f t="shared" si="4"/>
        <v>0</v>
      </c>
      <c r="E32" s="616" t="e">
        <f t="shared" si="3"/>
        <v>#DIV/0!</v>
      </c>
      <c r="F32" s="566"/>
      <c r="G32" s="123"/>
    </row>
    <row r="33" spans="1:7" ht="19.5" hidden="1" customHeight="1" x14ac:dyDescent="0.2">
      <c r="A33" s="57" t="s">
        <v>182</v>
      </c>
      <c r="B33" s="126" t="s">
        <v>183</v>
      </c>
      <c r="C33" s="426"/>
      <c r="D33" s="572">
        <f t="shared" si="4"/>
        <v>0</v>
      </c>
      <c r="E33" s="616" t="e">
        <f t="shared" si="3"/>
        <v>#DIV/0!</v>
      </c>
      <c r="F33" s="566"/>
      <c r="G33" s="123"/>
    </row>
    <row r="34" spans="1:7" ht="20.100000000000001" customHeight="1" x14ac:dyDescent="0.2">
      <c r="A34" s="57" t="s">
        <v>184</v>
      </c>
      <c r="B34" s="58" t="s">
        <v>321</v>
      </c>
      <c r="C34" s="571">
        <f>'Kiadások COFOG szerint'!C22+'Kiadások COFOG szerint'!C203+'Kiadások COFOG szerint'!C173</f>
        <v>1645200</v>
      </c>
      <c r="D34" s="572">
        <f t="shared" si="4"/>
        <v>602400</v>
      </c>
      <c r="E34" s="616">
        <f t="shared" si="3"/>
        <v>136.61560904449308</v>
      </c>
      <c r="F34" s="566">
        <f>'Kiadások COFOG szerint'!F22+'Kiadások COFOG szerint'!F203+'Kiadások COFOG szerint'!F173</f>
        <v>2247600</v>
      </c>
      <c r="G34" s="123"/>
    </row>
    <row r="35" spans="1:7" ht="20.100000000000001" customHeight="1" x14ac:dyDescent="0.2">
      <c r="A35" s="57" t="s">
        <v>185</v>
      </c>
      <c r="B35" s="58" t="s">
        <v>186</v>
      </c>
      <c r="C35" s="571">
        <f>'Kiadások COFOG szerint'!C23+'Kiadások COFOG szerint'!C204</f>
        <v>471600</v>
      </c>
      <c r="D35" s="572">
        <f t="shared" si="4"/>
        <v>-117600</v>
      </c>
      <c r="E35" s="616">
        <f t="shared" si="3"/>
        <v>75.063613231552168</v>
      </c>
      <c r="F35" s="566">
        <f>'Kiadások COFOG szerint'!F23+'Kiadások COFOG szerint'!F204</f>
        <v>354000</v>
      </c>
      <c r="G35" s="123"/>
    </row>
    <row r="36" spans="1:7" ht="20.100000000000001" customHeight="1" x14ac:dyDescent="0.2">
      <c r="A36" s="57" t="s">
        <v>187</v>
      </c>
      <c r="B36" s="58" t="s">
        <v>188</v>
      </c>
      <c r="C36" s="571">
        <f>SUM('Kiadások COFOG szerint'!C24+'Kiadások COFOG szerint'!C61+'Kiadások COFOG szerint'!C62+'Kiadások COFOG szerint'!C76+'Kiadások COFOG szerint'!C143+'Kiadások COFOG szerint'!C158+'Kiadások COFOG szerint'!C174)</f>
        <v>8920000</v>
      </c>
      <c r="D36" s="572">
        <f t="shared" si="4"/>
        <v>1974000</v>
      </c>
      <c r="E36" s="616">
        <f t="shared" si="3"/>
        <v>122.13004484304932</v>
      </c>
      <c r="F36" s="566">
        <f>SUM('Kiadások COFOG szerint'!F24+'Kiadások COFOG szerint'!F61+'Kiadások COFOG szerint'!F62+'Kiadások COFOG szerint'!F76+'Kiadások COFOG szerint'!F143+'Kiadások COFOG szerint'!F158+'Kiadások COFOG szerint'!F174+'Kiadások COFOG szerint'!F252)</f>
        <v>10894000</v>
      </c>
      <c r="G36" s="123"/>
    </row>
    <row r="37" spans="1:7" ht="20.100000000000001" customHeight="1" x14ac:dyDescent="0.2">
      <c r="A37" s="57" t="s">
        <v>189</v>
      </c>
      <c r="B37" s="126" t="s">
        <v>190</v>
      </c>
      <c r="C37" s="571"/>
      <c r="D37" s="572"/>
      <c r="E37" s="616">
        <v>0</v>
      </c>
      <c r="F37" s="60">
        <f>'Kiadások COFOG szerint'!F25+'Kiadások COFOG szerint'!F77+'Kiadások COFOG szerint'!F158+'Kiadások COFOG szerint'!F252</f>
        <v>6240000</v>
      </c>
      <c r="G37" s="123"/>
    </row>
    <row r="38" spans="1:7" ht="20.100000000000001" customHeight="1" x14ac:dyDescent="0.2">
      <c r="A38" s="57" t="s">
        <v>191</v>
      </c>
      <c r="B38" s="126" t="s">
        <v>192</v>
      </c>
      <c r="C38" s="571"/>
      <c r="D38" s="572"/>
      <c r="E38" s="616">
        <v>0</v>
      </c>
      <c r="F38" s="60">
        <f>'Kiadások COFOG szerint'!F26+'Kiadások COFOG szerint'!F78+'Kiadások COFOG szerint'!F174</f>
        <v>4390000</v>
      </c>
      <c r="G38" s="123"/>
    </row>
    <row r="39" spans="1:7" ht="20.100000000000001" customHeight="1" x14ac:dyDescent="0.2">
      <c r="A39" s="57" t="s">
        <v>193</v>
      </c>
      <c r="B39" s="126" t="s">
        <v>194</v>
      </c>
      <c r="C39" s="571"/>
      <c r="D39" s="572"/>
      <c r="E39" s="616">
        <v>0</v>
      </c>
      <c r="F39" s="60">
        <f>'Kiadások COFOG szerint'!F79+'Kiadások COFOG szerint'!F27</f>
        <v>264000</v>
      </c>
      <c r="G39" s="123"/>
    </row>
    <row r="40" spans="1:7" ht="20.100000000000001" customHeight="1" x14ac:dyDescent="0.2">
      <c r="A40" s="57" t="s">
        <v>195</v>
      </c>
      <c r="B40" s="58" t="s">
        <v>196</v>
      </c>
      <c r="C40" s="571">
        <f>'Kiadások COFOG szerint'!C253+'Kiadások COFOG szerint'!C274+'Kiadások COFOG szerint'!C280</f>
        <v>11300000</v>
      </c>
      <c r="D40" s="572">
        <f t="shared" si="4"/>
        <v>8500000</v>
      </c>
      <c r="E40" s="616">
        <f t="shared" ref="E40:E51" si="5">F40/C40*100</f>
        <v>175.22123893805309</v>
      </c>
      <c r="F40" s="566">
        <f>'Kiadások COFOG szerint'!F253+'Kiadások COFOG szerint'!F274+'Kiadások COFOG szerint'!F280</f>
        <v>19800000</v>
      </c>
      <c r="G40" s="123"/>
    </row>
    <row r="41" spans="1:7" ht="20.100000000000001" customHeight="1" x14ac:dyDescent="0.2">
      <c r="A41" s="57" t="s">
        <v>197</v>
      </c>
      <c r="B41" s="58" t="s">
        <v>198</v>
      </c>
      <c r="C41" s="571">
        <f>'Kiadások COFOG szerint'!C28</f>
        <v>150000</v>
      </c>
      <c r="D41" s="572">
        <f t="shared" si="4"/>
        <v>0</v>
      </c>
      <c r="E41" s="616">
        <f t="shared" si="5"/>
        <v>100</v>
      </c>
      <c r="F41" s="566">
        <f>'Kiadások COFOG szerint'!F28</f>
        <v>150000</v>
      </c>
      <c r="G41" s="123"/>
    </row>
    <row r="42" spans="1:7" ht="20.100000000000001" customHeight="1" x14ac:dyDescent="0.2">
      <c r="A42" s="57" t="s">
        <v>199</v>
      </c>
      <c r="B42" s="58" t="s">
        <v>200</v>
      </c>
      <c r="C42" s="571">
        <f>SUM('Kiadások COFOG szerint'!C29+'Kiadások COFOG szerint'!C63+'Kiadások COFOG szerint'!C80+'Kiadások COFOG szerint'!C144+'Kiadások COFOG szerint'!C159+'Kiadások COFOG szerint'!C176+'Kiadások COFOG szerint'!C205+'Kiadások COFOG szerint'!C133+'Kiadások COFOG szerint'!C254)</f>
        <v>4710000</v>
      </c>
      <c r="D42" s="572">
        <f t="shared" si="4"/>
        <v>1180000</v>
      </c>
      <c r="E42" s="616">
        <f t="shared" si="5"/>
        <v>125.05307855626326</v>
      </c>
      <c r="F42" s="566">
        <f>SUM('Kiadások COFOG szerint'!F29+'Kiadások COFOG szerint'!F63+'Kiadások COFOG szerint'!F80+'Kiadások COFOG szerint'!F144+'Kiadások COFOG szerint'!F159+'Kiadások COFOG szerint'!F176+'Kiadások COFOG szerint'!F205+'Kiadások COFOG szerint'!F133+'Kiadások COFOG szerint'!F254)</f>
        <v>5890000</v>
      </c>
      <c r="G42" s="123"/>
    </row>
    <row r="43" spans="1:7" ht="20.100000000000001" customHeight="1" x14ac:dyDescent="0.2">
      <c r="A43" s="57" t="s">
        <v>484</v>
      </c>
      <c r="B43" s="58" t="s">
        <v>485</v>
      </c>
      <c r="C43" s="571">
        <f>'Kiadások COFOG szerint'!C30</f>
        <v>5190000</v>
      </c>
      <c r="D43" s="572">
        <f t="shared" si="4"/>
        <v>-2190000</v>
      </c>
      <c r="E43" s="616">
        <f t="shared" si="5"/>
        <v>57.80346820809249</v>
      </c>
      <c r="F43" s="566">
        <f>'Kiadások COFOG szerint'!F30</f>
        <v>3000000</v>
      </c>
      <c r="G43" s="123"/>
    </row>
    <row r="44" spans="1:7" ht="20.100000000000001" customHeight="1" x14ac:dyDescent="0.2">
      <c r="A44" s="57" t="s">
        <v>201</v>
      </c>
      <c r="B44" s="58" t="s">
        <v>202</v>
      </c>
      <c r="C44" s="571">
        <f>'Kiadások COFOG szerint'!C31+'Kiadások COFOG szerint'!C206+'Kiadások COFOG szerint'!C218+'Kiadások COFOG szerint'!C255+'Kiadások COFOG szerint'!C296</f>
        <v>2882000</v>
      </c>
      <c r="D44" s="572">
        <f t="shared" si="4"/>
        <v>556400</v>
      </c>
      <c r="E44" s="616">
        <f t="shared" si="5"/>
        <v>119.30603747397642</v>
      </c>
      <c r="F44" s="566">
        <f>'Kiadások COFOG szerint'!F31+'Kiadások COFOG szerint'!F206+'Kiadások COFOG szerint'!F218+'Kiadások COFOG szerint'!F255+'Kiadások COFOG szerint'!F296+'Kiadások COFOG szerint'!F177</f>
        <v>3438400</v>
      </c>
      <c r="G44" s="123"/>
    </row>
    <row r="45" spans="1:7" ht="20.100000000000001" customHeight="1" x14ac:dyDescent="0.2">
      <c r="A45" s="57" t="s">
        <v>205</v>
      </c>
      <c r="B45" s="58" t="s">
        <v>206</v>
      </c>
      <c r="C45" s="571">
        <f>'Kiadások COFOG szerint'!C32+'Kiadások COFOG szerint'!C64+'Kiadások COFOG szerint'!C81+'Kiadások COFOG szerint'!C94+'Kiadások COFOG szerint'!C134+'Kiadások COFOG szerint'!C178+'Kiadások COFOG szerint'!C207+'Kiadások COFOG szerint'!C233+'Kiadások COFOG szerint'!C256+'Kiadások COFOG szerint'!C304</f>
        <v>10380000</v>
      </c>
      <c r="D45" s="572">
        <f t="shared" si="4"/>
        <v>2860000</v>
      </c>
      <c r="E45" s="616">
        <f t="shared" si="5"/>
        <v>127.55298651252409</v>
      </c>
      <c r="F45" s="566">
        <f>'Kiadások COFOG szerint'!F32+'Kiadások COFOG szerint'!F64+'Kiadások COFOG szerint'!F81+'Kiadások COFOG szerint'!F94+'Kiadások COFOG szerint'!F134+'Kiadások COFOG szerint'!F178+'Kiadások COFOG szerint'!F207+'Kiadások COFOG szerint'!F233+'Kiadások COFOG szerint'!F256+'Kiadások COFOG szerint'!F304</f>
        <v>13240000</v>
      </c>
      <c r="G45" s="123"/>
    </row>
    <row r="46" spans="1:7" ht="20.100000000000001" customHeight="1" x14ac:dyDescent="0.2">
      <c r="A46" s="57" t="s">
        <v>211</v>
      </c>
      <c r="B46" s="58" t="s">
        <v>212</v>
      </c>
      <c r="C46" s="571">
        <f>'Kiadások COFOG szerint'!C33+'Kiadások COFOG szerint'!C95+'Kiadások COFOG szerint'!C208</f>
        <v>250000</v>
      </c>
      <c r="D46" s="572">
        <f t="shared" si="4"/>
        <v>-200000</v>
      </c>
      <c r="E46" s="616">
        <f t="shared" si="5"/>
        <v>20</v>
      </c>
      <c r="F46" s="566">
        <f>'Kiadások COFOG szerint'!F33+'Kiadások COFOG szerint'!F95+'Kiadások COFOG szerint'!F208</f>
        <v>50000</v>
      </c>
      <c r="G46" s="123"/>
    </row>
    <row r="47" spans="1:7" ht="19.5" customHeight="1" x14ac:dyDescent="0.2">
      <c r="A47" s="57" t="s">
        <v>213</v>
      </c>
      <c r="B47" s="58" t="s">
        <v>214</v>
      </c>
      <c r="C47" s="571">
        <f>'Kiadások COFOG szerint'!C34+'Kiadások COFOG szerint'!C66+'Kiadások COFOG szerint'!C82+'Kiadások COFOG szerint'!C96+'Kiadások COFOG szerint'!C116+'Kiadások COFOG szerint'!C127+'Kiadások COFOG szerint'!C136+'Kiadások COFOG szerint'!C160+'Kiadások COFOG szerint'!C180+'Kiadások COFOG szerint'!C209+'Kiadások COFOG szerint'!C234+'Kiadások COFOG szerint'!C257+'Kiadások COFOG szerint'!C275+'Kiadások COFOG szerint'!C281+'Kiadások COFOG szerint'!C305</f>
        <v>11323000</v>
      </c>
      <c r="D47" s="572">
        <f t="shared" si="4"/>
        <v>5088240</v>
      </c>
      <c r="E47" s="616">
        <f t="shared" si="5"/>
        <v>144.937207453855</v>
      </c>
      <c r="F47" s="566">
        <f>'Kiadások COFOG szerint'!F34+'Kiadások COFOG szerint'!F66+'Kiadások COFOG szerint'!F82+'Kiadások COFOG szerint'!F96+'Kiadások COFOG szerint'!F116+'Kiadások COFOG szerint'!F127+'Kiadások COFOG szerint'!F136+'Kiadások COFOG szerint'!F160+'Kiadások COFOG szerint'!F180+'Kiadások COFOG szerint'!F209+'Kiadások COFOG szerint'!F234+'Kiadások COFOG szerint'!F257+'Kiadások COFOG szerint'!F275+'Kiadások COFOG szerint'!F281+'Kiadások COFOG szerint'!F305</f>
        <v>16411240</v>
      </c>
      <c r="G47" s="123"/>
    </row>
    <row r="48" spans="1:7" ht="20.100000000000001" customHeight="1" x14ac:dyDescent="0.2">
      <c r="A48" s="57" t="s">
        <v>215</v>
      </c>
      <c r="B48" s="58" t="s">
        <v>216</v>
      </c>
      <c r="C48" s="571">
        <f>'Kiadások COFOG szerint'!C35</f>
        <v>2500000</v>
      </c>
      <c r="D48" s="572">
        <f t="shared" si="4"/>
        <v>1900000</v>
      </c>
      <c r="E48" s="616">
        <f t="shared" si="5"/>
        <v>176</v>
      </c>
      <c r="F48" s="566">
        <f>'Kiadások COFOG szerint'!F35</f>
        <v>4400000</v>
      </c>
      <c r="G48" s="123"/>
    </row>
    <row r="49" spans="1:11" ht="20.100000000000001" customHeight="1" x14ac:dyDescent="0.2">
      <c r="A49" s="57" t="s">
        <v>217</v>
      </c>
      <c r="B49" s="58" t="s">
        <v>218</v>
      </c>
      <c r="C49" s="571">
        <f>'Kiadások COFOG szerint'!C36+'Kiadások COFOG szerint'!C181</f>
        <v>10000</v>
      </c>
      <c r="D49" s="572">
        <f t="shared" si="4"/>
        <v>0</v>
      </c>
      <c r="E49" s="616">
        <f t="shared" si="5"/>
        <v>100</v>
      </c>
      <c r="F49" s="566">
        <f>'Kiadások COFOG szerint'!F36+'Kiadások COFOG szerint'!F181</f>
        <v>10000</v>
      </c>
      <c r="G49" s="123"/>
    </row>
    <row r="50" spans="1:11" ht="20.100000000000001" customHeight="1" thickBot="1" x14ac:dyDescent="0.25">
      <c r="A50" s="57" t="s">
        <v>219</v>
      </c>
      <c r="B50" s="58" t="s">
        <v>220</v>
      </c>
      <c r="C50" s="571">
        <f>'Kiadások COFOG szerint'!C37</f>
        <v>220000</v>
      </c>
      <c r="D50" s="572">
        <f t="shared" si="4"/>
        <v>210000</v>
      </c>
      <c r="E50" s="616">
        <f t="shared" si="5"/>
        <v>195.45454545454547</v>
      </c>
      <c r="F50" s="566">
        <f>'Kiadások COFOG szerint'!F37</f>
        <v>430000</v>
      </c>
      <c r="G50" s="123"/>
    </row>
    <row r="51" spans="1:11" ht="24.95" customHeight="1" thickBot="1" x14ac:dyDescent="0.25">
      <c r="A51" s="810" t="s">
        <v>17</v>
      </c>
      <c r="B51" s="810"/>
      <c r="C51" s="427">
        <f>SUM(C23:C50)</f>
        <v>67361800</v>
      </c>
      <c r="D51" s="127">
        <f>SUM(D23:D36,D40:D50)</f>
        <v>22109440</v>
      </c>
      <c r="E51" s="617">
        <f t="shared" si="5"/>
        <v>132.82192577989304</v>
      </c>
      <c r="F51" s="127">
        <f>SUM(F23:F36,F40:F50)</f>
        <v>89471240</v>
      </c>
      <c r="G51" s="123"/>
    </row>
    <row r="52" spans="1:11" ht="21.75" customHeight="1" x14ac:dyDescent="0.2">
      <c r="A52" s="128" t="s">
        <v>221</v>
      </c>
      <c r="B52" s="129" t="s">
        <v>222</v>
      </c>
      <c r="C52" s="428">
        <v>0</v>
      </c>
      <c r="D52" s="298">
        <f>F52-C52</f>
        <v>0</v>
      </c>
      <c r="E52" s="643">
        <v>0</v>
      </c>
      <c r="F52" s="569">
        <f>'Kiadások COFOG szerint'!F286</f>
        <v>0</v>
      </c>
      <c r="G52" s="123"/>
    </row>
    <row r="53" spans="1:11" ht="20.100000000000001" customHeight="1" x14ac:dyDescent="0.2">
      <c r="A53" s="53" t="s">
        <v>223</v>
      </c>
      <c r="B53" s="54" t="s">
        <v>224</v>
      </c>
      <c r="C53" s="492">
        <v>0</v>
      </c>
      <c r="D53" s="488">
        <f>F53-C53</f>
        <v>0</v>
      </c>
      <c r="E53" s="643">
        <v>0</v>
      </c>
      <c r="F53" s="567"/>
      <c r="G53" s="130"/>
    </row>
    <row r="54" spans="1:11" x14ac:dyDescent="0.2">
      <c r="A54" s="57" t="s">
        <v>225</v>
      </c>
      <c r="B54" s="58" t="s">
        <v>306</v>
      </c>
      <c r="C54" s="577">
        <f>SUM('Kiadások COFOG szerint'!C307)</f>
        <v>6300000</v>
      </c>
      <c r="D54" s="575">
        <f>F54-C54</f>
        <v>0</v>
      </c>
      <c r="E54" s="643">
        <v>0</v>
      </c>
      <c r="F54" s="566">
        <f>'Kiadások COFOG szerint'!F307</f>
        <v>6300000</v>
      </c>
      <c r="G54" s="130"/>
    </row>
    <row r="55" spans="1:11" ht="20.100000000000001" customHeight="1" x14ac:dyDescent="0.2">
      <c r="A55" s="57" t="s">
        <v>226</v>
      </c>
      <c r="B55" s="58" t="s">
        <v>227</v>
      </c>
      <c r="C55" s="578">
        <v>5500000</v>
      </c>
      <c r="D55" s="575">
        <f>F55-C55</f>
        <v>0</v>
      </c>
      <c r="E55" s="643">
        <v>0</v>
      </c>
      <c r="F55" s="566">
        <f>'Kiadások COFOG szerint'!F308</f>
        <v>5500000</v>
      </c>
      <c r="G55" s="130"/>
    </row>
    <row r="56" spans="1:11" ht="20.100000000000001" customHeight="1" x14ac:dyDescent="0.2">
      <c r="A56" s="57" t="s">
        <v>228</v>
      </c>
      <c r="B56" s="58" t="s">
        <v>486</v>
      </c>
      <c r="C56" s="578"/>
      <c r="D56" s="299"/>
      <c r="E56" s="643">
        <v>0</v>
      </c>
      <c r="F56" s="644"/>
      <c r="G56" s="130"/>
    </row>
    <row r="57" spans="1:11" ht="20.100000000000001" customHeight="1" x14ac:dyDescent="0.2">
      <c r="A57" s="57" t="s">
        <v>229</v>
      </c>
      <c r="B57" s="58" t="s">
        <v>230</v>
      </c>
      <c r="C57" s="578"/>
      <c r="D57" s="299">
        <f>F57-C57</f>
        <v>0</v>
      </c>
      <c r="E57" s="643">
        <v>0</v>
      </c>
      <c r="F57" s="566"/>
      <c r="G57" s="130"/>
    </row>
    <row r="58" spans="1:11" ht="18.75" customHeight="1" thickBot="1" x14ac:dyDescent="0.25">
      <c r="A58" s="61" t="s">
        <v>487</v>
      </c>
      <c r="B58" s="71" t="s">
        <v>464</v>
      </c>
      <c r="C58" s="579">
        <f>SUM('Kiadások COFOG szerint'!C306)</f>
        <v>0</v>
      </c>
      <c r="D58" s="300">
        <f>F58-C58</f>
        <v>0</v>
      </c>
      <c r="E58" s="643">
        <v>0</v>
      </c>
      <c r="F58" s="645">
        <f>'Kiadások COFOG szerint'!F306</f>
        <v>0</v>
      </c>
      <c r="G58" s="130"/>
    </row>
    <row r="59" spans="1:11" ht="25.5" customHeight="1" thickBot="1" x14ac:dyDescent="0.25">
      <c r="A59" s="810" t="s">
        <v>21</v>
      </c>
      <c r="B59" s="810"/>
      <c r="C59" s="427">
        <f>SUM(C52:C58)</f>
        <v>11800000</v>
      </c>
      <c r="D59" s="127">
        <f>SUM(D52:D58)</f>
        <v>0</v>
      </c>
      <c r="E59" s="617">
        <f>F59/C59*100</f>
        <v>100</v>
      </c>
      <c r="F59" s="125">
        <f>SUM(F52:F58)</f>
        <v>11800000</v>
      </c>
      <c r="G59" s="130"/>
    </row>
    <row r="60" spans="1:11" ht="24.95" customHeight="1" x14ac:dyDescent="0.2">
      <c r="A60" s="664" t="s">
        <v>232</v>
      </c>
      <c r="B60" s="581" t="s">
        <v>233</v>
      </c>
      <c r="C60" s="665">
        <v>0</v>
      </c>
      <c r="D60" s="592">
        <f>F60-C60</f>
        <v>0</v>
      </c>
      <c r="E60" s="661">
        <v>0</v>
      </c>
      <c r="F60" s="586">
        <f>'Kiadások COFOG szerint'!F101</f>
        <v>0</v>
      </c>
      <c r="G60" s="130"/>
    </row>
    <row r="61" spans="1:11" ht="24.95" customHeight="1" x14ac:dyDescent="0.2">
      <c r="A61" s="57" t="s">
        <v>234</v>
      </c>
      <c r="B61" s="58" t="s">
        <v>235</v>
      </c>
      <c r="C61" s="407">
        <v>0</v>
      </c>
      <c r="D61" s="55">
        <f>F61-C61</f>
        <v>0</v>
      </c>
      <c r="E61" s="662">
        <v>0</v>
      </c>
      <c r="F61" s="587"/>
      <c r="G61" s="130"/>
      <c r="K61" s="77"/>
    </row>
    <row r="62" spans="1:11" ht="24.95" customHeight="1" x14ac:dyDescent="0.2">
      <c r="A62" s="57" t="s">
        <v>231</v>
      </c>
      <c r="B62" s="58" t="s">
        <v>236</v>
      </c>
      <c r="C62" s="584">
        <f>'Kiadások COFOG szerint'!C107</f>
        <v>11000000</v>
      </c>
      <c r="D62" s="55">
        <f>F62-C62</f>
        <v>3550000</v>
      </c>
      <c r="E62" s="663">
        <f>F62/C62*100</f>
        <v>132.27272727272728</v>
      </c>
      <c r="F62" s="587">
        <f>'Kiadások COFOG szerint'!F107</f>
        <v>14550000</v>
      </c>
      <c r="G62" s="131"/>
    </row>
    <row r="63" spans="1:11" ht="24.95" customHeight="1" x14ac:dyDescent="0.2">
      <c r="A63" s="57" t="s">
        <v>237</v>
      </c>
      <c r="B63" s="58" t="s">
        <v>238</v>
      </c>
      <c r="C63" s="407">
        <v>0</v>
      </c>
      <c r="D63" s="55">
        <f>F63-C63</f>
        <v>0</v>
      </c>
      <c r="E63" s="663">
        <v>0</v>
      </c>
      <c r="F63" s="587"/>
      <c r="G63" s="131"/>
    </row>
    <row r="64" spans="1:11" ht="24.95" customHeight="1" thickBot="1" x14ac:dyDescent="0.25">
      <c r="A64" s="70" t="s">
        <v>239</v>
      </c>
      <c r="B64" s="666" t="s">
        <v>240</v>
      </c>
      <c r="C64" s="583">
        <f>'Kiadások COFOG szerint'!C241</f>
        <v>5330000</v>
      </c>
      <c r="D64" s="667">
        <f>F64-C64</f>
        <v>959700</v>
      </c>
      <c r="E64" s="622">
        <f t="shared" ref="E64:E74" si="6">F64/C64*100</f>
        <v>118.00562851782364</v>
      </c>
      <c r="F64" s="588">
        <f>'Kiadások COFOG szerint'!F241</f>
        <v>6289700</v>
      </c>
      <c r="G64" s="131"/>
    </row>
    <row r="65" spans="1:9" ht="24.95" customHeight="1" thickBot="1" x14ac:dyDescent="0.25">
      <c r="A65" s="813" t="s">
        <v>25</v>
      </c>
      <c r="B65" s="813"/>
      <c r="C65" s="429">
        <f>SUM(C60:C64)</f>
        <v>16330000</v>
      </c>
      <c r="D65" s="132">
        <f>SUM(D60:D64)</f>
        <v>4509700</v>
      </c>
      <c r="E65" s="618">
        <f t="shared" si="6"/>
        <v>127.61604409063074</v>
      </c>
      <c r="F65" s="133">
        <f>SUM(F60:F64)</f>
        <v>20839700</v>
      </c>
      <c r="G65" s="130"/>
    </row>
    <row r="66" spans="1:9" ht="20.100000000000001" customHeight="1" x14ac:dyDescent="0.2">
      <c r="A66" s="53" t="s">
        <v>241</v>
      </c>
      <c r="B66" s="581" t="s">
        <v>242</v>
      </c>
      <c r="C66" s="580">
        <f>'Kiadások COFOG szerint'!C47</f>
        <v>5200000</v>
      </c>
      <c r="D66" s="585">
        <f t="shared" ref="D66:D73" si="7">F66-C66</f>
        <v>-3830000</v>
      </c>
      <c r="E66" s="623">
        <f t="shared" si="6"/>
        <v>26.346153846153847</v>
      </c>
      <c r="F66" s="567">
        <f>'Kiadások COFOG szerint'!F47</f>
        <v>1370000</v>
      </c>
      <c r="G66" s="130"/>
    </row>
    <row r="67" spans="1:9" ht="20.100000000000001" customHeight="1" x14ac:dyDescent="0.2">
      <c r="A67" s="57" t="s">
        <v>243</v>
      </c>
      <c r="B67" s="58" t="s">
        <v>244</v>
      </c>
      <c r="C67" s="578">
        <f>'Kiadások COFOG szerint'!C83</f>
        <v>0</v>
      </c>
      <c r="D67" s="585">
        <f t="shared" si="7"/>
        <v>0</v>
      </c>
      <c r="E67" s="629">
        <v>0</v>
      </c>
      <c r="F67" s="566">
        <f>'Kiadások COFOG szerint'!F83</f>
        <v>0</v>
      </c>
      <c r="G67" s="130"/>
    </row>
    <row r="68" spans="1:9" ht="20.100000000000001" customHeight="1" x14ac:dyDescent="0.2">
      <c r="A68" s="57" t="s">
        <v>245</v>
      </c>
      <c r="B68" s="58" t="s">
        <v>246</v>
      </c>
      <c r="C68" s="578">
        <f>'Kiadások COFOG szerint'!C48</f>
        <v>150000</v>
      </c>
      <c r="D68" s="585">
        <f t="shared" si="7"/>
        <v>0</v>
      </c>
      <c r="E68" s="627">
        <f t="shared" si="6"/>
        <v>100</v>
      </c>
      <c r="F68" s="566">
        <f>'Kiadások COFOG szerint'!F48</f>
        <v>150000</v>
      </c>
      <c r="G68" s="131"/>
    </row>
    <row r="69" spans="1:9" ht="20.100000000000001" customHeight="1" x14ac:dyDescent="0.2">
      <c r="A69" s="57" t="s">
        <v>247</v>
      </c>
      <c r="B69" s="58" t="s">
        <v>248</v>
      </c>
      <c r="C69" s="578">
        <f>'Kiadások COFOG szerint'!C49+'Kiadások COFOG szerint'!C117+'Kiadások COFOG szerint'!C182+'Kiadások COFOG szerint'!C210+'Kiadások COFOG szerint'!C235</f>
        <v>240000</v>
      </c>
      <c r="D69" s="585">
        <f t="shared" si="7"/>
        <v>60000</v>
      </c>
      <c r="E69" s="627">
        <f t="shared" si="6"/>
        <v>125</v>
      </c>
      <c r="F69" s="566">
        <f>'Kiadások COFOG szerint'!F49+'Kiadások COFOG szerint'!F117+'Kiadások COFOG szerint'!F182+'Kiadások COFOG szerint'!F210+'Kiadások COFOG szerint'!F235</f>
        <v>300000</v>
      </c>
      <c r="G69" s="131"/>
      <c r="I69" s="111"/>
    </row>
    <row r="70" spans="1:9" ht="20.100000000000001" customHeight="1" x14ac:dyDescent="0.2">
      <c r="A70" s="57" t="s">
        <v>249</v>
      </c>
      <c r="B70" s="58" t="s">
        <v>250</v>
      </c>
      <c r="C70" s="578">
        <f>'Kiadások COFOG szerint'!C50+'Kiadások COFOG szerint'!C118+'Kiadások COFOG szerint'!C183+'Kiadások COFOG szerint'!C236+'Kiadások COFOG szerint'!C211</f>
        <v>1515000</v>
      </c>
      <c r="D70" s="585">
        <f t="shared" si="7"/>
        <v>-1011000</v>
      </c>
      <c r="E70" s="627">
        <f t="shared" si="6"/>
        <v>33.267326732673268</v>
      </c>
      <c r="F70" s="566">
        <f>'Kiadások COFOG szerint'!F50+'Kiadások COFOG szerint'!F118+'Kiadások COFOG szerint'!F183+'Kiadások COFOG szerint'!F236+'Kiadások COFOG szerint'!F211</f>
        <v>504000</v>
      </c>
      <c r="G70" s="131"/>
    </row>
    <row r="71" spans="1:9" ht="20.100000000000001" customHeight="1" x14ac:dyDescent="0.2">
      <c r="A71" s="57" t="s">
        <v>251</v>
      </c>
      <c r="B71" s="58" t="s">
        <v>252</v>
      </c>
      <c r="C71" s="578">
        <f>'Kiadások COFOG szerint'!C84+'Kiadások COFOG szerint'!C137+'Kiadások COFOG szerint'!C151+'Kiadások COFOG szerint'!C184</f>
        <v>3165000</v>
      </c>
      <c r="D71" s="585">
        <f t="shared" si="7"/>
        <v>-3165000</v>
      </c>
      <c r="E71" s="628">
        <v>0</v>
      </c>
      <c r="F71" s="566">
        <f>'Kiadások COFOG szerint'!F84+'Kiadások COFOG szerint'!F137+'Kiadások COFOG szerint'!F151+'Kiadások COFOG szerint'!F184</f>
        <v>0</v>
      </c>
      <c r="G71" s="131"/>
    </row>
    <row r="72" spans="1:9" ht="20.100000000000001" customHeight="1" x14ac:dyDescent="0.2">
      <c r="A72" s="57" t="s">
        <v>253</v>
      </c>
      <c r="B72" s="58" t="s">
        <v>254</v>
      </c>
      <c r="C72" s="578">
        <f>'Kiadások COFOG szerint'!C145+'Kiadások COFOG szerint'!C213</f>
        <v>6615629</v>
      </c>
      <c r="D72" s="585">
        <f t="shared" si="7"/>
        <v>384371</v>
      </c>
      <c r="E72" s="629">
        <f t="shared" si="6"/>
        <v>105.81004466846615</v>
      </c>
      <c r="F72" s="566">
        <f>'Kiadások COFOG szerint'!F145+'Kiadások COFOG szerint'!F213</f>
        <v>7000000</v>
      </c>
      <c r="G72" s="131"/>
    </row>
    <row r="73" spans="1:9" ht="20.100000000000001" customHeight="1" thickBot="1" x14ac:dyDescent="0.25">
      <c r="A73" s="61" t="s">
        <v>255</v>
      </c>
      <c r="B73" s="71" t="s">
        <v>256</v>
      </c>
      <c r="C73" s="573">
        <f>'Kiadások COFOG szerint'!C85+'Kiadások COFOG szerint'!C146+'Kiadások COFOG szerint'!C152+'Kiadások COFOG szerint'!C185+'Kiadások COFOG szerint'!C138</f>
        <v>2621220</v>
      </c>
      <c r="D73" s="585">
        <f t="shared" si="7"/>
        <v>-731220</v>
      </c>
      <c r="E73" s="626">
        <f t="shared" si="6"/>
        <v>72.103829514500887</v>
      </c>
      <c r="F73" s="568">
        <f>'Kiadások COFOG szerint'!F85+'Kiadások COFOG szerint'!F146+'Kiadások COFOG szerint'!F152+'Kiadások COFOG szerint'!F185+'Kiadások COFOG szerint'!F138</f>
        <v>1890000</v>
      </c>
      <c r="G73" s="131"/>
    </row>
    <row r="74" spans="1:9" ht="24.95" customHeight="1" thickBot="1" x14ac:dyDescent="0.25">
      <c r="A74" s="810" t="s">
        <v>257</v>
      </c>
      <c r="B74" s="810"/>
      <c r="C74" s="427">
        <f>SUM(C66:C73)</f>
        <v>19506849</v>
      </c>
      <c r="D74" s="134">
        <f>SUM(D66:D73)</f>
        <v>-8292849</v>
      </c>
      <c r="E74" s="619">
        <f t="shared" si="6"/>
        <v>57.487500928520028</v>
      </c>
      <c r="F74" s="125">
        <f>SUM(F66:F73)</f>
        <v>11214000</v>
      </c>
      <c r="G74" s="131"/>
    </row>
    <row r="75" spans="1:9" ht="24.95" customHeight="1" thickBot="1" x14ac:dyDescent="0.25">
      <c r="A75" s="135" t="s">
        <v>420</v>
      </c>
      <c r="B75" s="136" t="s">
        <v>421</v>
      </c>
      <c r="C75" s="137">
        <f>'Kiadások COFOG szerint'!C186</f>
        <v>0</v>
      </c>
      <c r="D75" s="137">
        <f>'Kiadások COFOG szerint'!D186</f>
        <v>0</v>
      </c>
      <c r="E75" s="624">
        <f>'Kiadások COFOG szerint'!E186</f>
        <v>0</v>
      </c>
      <c r="F75" s="137">
        <f>'Kiadások COFOG szerint'!F186</f>
        <v>0</v>
      </c>
      <c r="G75" s="131"/>
    </row>
    <row r="76" spans="1:9" ht="24.95" customHeight="1" thickBot="1" x14ac:dyDescent="0.25">
      <c r="A76" s="138" t="s">
        <v>41</v>
      </c>
      <c r="B76" s="139" t="s">
        <v>259</v>
      </c>
      <c r="C76" s="140">
        <f>'Kiadások COFOG szerint'!C102</f>
        <v>7740155</v>
      </c>
      <c r="D76" s="140">
        <f>'Kiadások COFOG szerint'!D102</f>
        <v>2010731</v>
      </c>
      <c r="E76" s="625">
        <f>F76/C76*100</f>
        <v>125.97791646291321</v>
      </c>
      <c r="F76" s="140">
        <f>'Kiadások COFOG szerint'!F102</f>
        <v>9750886</v>
      </c>
      <c r="G76" s="131"/>
    </row>
    <row r="77" spans="1:9" ht="24.95" customHeight="1" thickBot="1" x14ac:dyDescent="0.25">
      <c r="A77" s="141" t="s">
        <v>260</v>
      </c>
      <c r="B77" s="139" t="s">
        <v>261</v>
      </c>
      <c r="C77" s="137">
        <f>'Kiadások COFOG szerint'!C108</f>
        <v>187585884</v>
      </c>
      <c r="D77" s="137">
        <f>'Kiadások COFOG szerint'!D108</f>
        <v>33723377</v>
      </c>
      <c r="E77" s="625">
        <f>F77/C77*100</f>
        <v>117.97756647829642</v>
      </c>
      <c r="F77" s="137">
        <f>SUM('Kiadások COFOG szerint'!F108)</f>
        <v>221309261</v>
      </c>
      <c r="G77" s="131"/>
    </row>
    <row r="78" spans="1:9" ht="24.95" customHeight="1" thickBot="1" x14ac:dyDescent="0.25">
      <c r="A78" s="811" t="s">
        <v>35</v>
      </c>
      <c r="B78" s="631" t="s">
        <v>262</v>
      </c>
      <c r="C78" s="632">
        <f>'Kiadások COFOG szerint'!C43</f>
        <v>9749307</v>
      </c>
      <c r="D78" s="634">
        <f>'Kiadások COFOG szerint'!D43</f>
        <v>7271616</v>
      </c>
      <c r="E78" s="635">
        <f>F78/C78*100</f>
        <v>174.58597826491669</v>
      </c>
      <c r="F78" s="142">
        <f>'Kiadások COFOG szerint'!F43</f>
        <v>17020923</v>
      </c>
      <c r="G78" s="131"/>
    </row>
    <row r="79" spans="1:9" ht="20.25" customHeight="1" thickBot="1" x14ac:dyDescent="0.25">
      <c r="A79" s="811"/>
      <c r="B79" s="633" t="s">
        <v>263</v>
      </c>
      <c r="C79" s="630">
        <f>'Kiadások COFOG szerint'!C44</f>
        <v>195696849</v>
      </c>
      <c r="D79" s="630">
        <f>'Kiadások COFOG szerint'!D44</f>
        <v>36929529</v>
      </c>
      <c r="E79" s="636">
        <f>F79/C79*100</f>
        <v>118.87078365784009</v>
      </c>
      <c r="F79" s="144">
        <f>'Kiadások COFOG szerint'!F44</f>
        <v>232626378</v>
      </c>
      <c r="G79" s="131"/>
    </row>
    <row r="80" spans="1:9" ht="20.25" customHeight="1" thickBot="1" x14ac:dyDescent="0.25">
      <c r="A80" s="811"/>
      <c r="B80" s="145" t="s">
        <v>38</v>
      </c>
      <c r="C80" s="430">
        <v>0</v>
      </c>
      <c r="D80" s="143"/>
      <c r="E80" s="620"/>
      <c r="F80" s="146">
        <f>'Kiadások COFOG szerint'!F45</f>
        <v>0</v>
      </c>
      <c r="G80" s="131"/>
    </row>
    <row r="81" spans="1:7" ht="22.5" customHeight="1" thickBot="1" x14ac:dyDescent="0.3">
      <c r="A81" s="812" t="s">
        <v>264</v>
      </c>
      <c r="B81" s="812"/>
      <c r="C81" s="147">
        <f>C20+C22+C51+C59+C65+C74+C75+C76+C77+C78+C79+C80</f>
        <v>571700664</v>
      </c>
      <c r="D81" s="147">
        <f>D20+D22+D51+D59+D65+D74+D75+D76+D77+D78+D79+D80</f>
        <v>95851074</v>
      </c>
      <c r="E81" s="621">
        <f>F81/C81*100</f>
        <v>116.76595463950694</v>
      </c>
      <c r="F81" s="147">
        <f>F20+F22+F51+F59+F65+F74+F75+F76+F77+F78+F79+F80</f>
        <v>667551738</v>
      </c>
      <c r="G81" s="131"/>
    </row>
    <row r="84" spans="1:7" x14ac:dyDescent="0.2">
      <c r="B84" s="120" t="s">
        <v>378</v>
      </c>
      <c r="C84" s="278">
        <f>C81-'Kiadások COFOG szerint'!C313</f>
        <v>0</v>
      </c>
      <c r="D84" s="278">
        <f>D81-'Kiadások COFOG szerint'!D313</f>
        <v>0</v>
      </c>
      <c r="E84" s="278"/>
      <c r="F84" s="278">
        <f>F81-'Kiadások COFOG szerint'!F313</f>
        <v>0</v>
      </c>
    </row>
  </sheetData>
  <sheetProtection algorithmName="SHA-512" hashValue="DI+oqV1xdgkHXum2UkunNSAaijGECliL6gSHeRJdUljHpqwj7cOdTYhYCr5P+pXvw+ZPlXN+zTsbbItTi/WobQ==" saltValue="0xR8NzJCBq6dCEu554lzYQ==" spinCount="100000" sheet="1" objects="1" scenarios="1"/>
  <mergeCells count="15">
    <mergeCell ref="A2:F2"/>
    <mergeCell ref="A3:F3"/>
    <mergeCell ref="A5:F5"/>
    <mergeCell ref="A6:A7"/>
    <mergeCell ref="B6:B7"/>
    <mergeCell ref="F6:F7"/>
    <mergeCell ref="C6:E6"/>
    <mergeCell ref="A74:B74"/>
    <mergeCell ref="A78:A80"/>
    <mergeCell ref="A81:B81"/>
    <mergeCell ref="A20:B20"/>
    <mergeCell ref="A22:B22"/>
    <mergeCell ref="A51:B51"/>
    <mergeCell ref="A59:B59"/>
    <mergeCell ref="A65:B65"/>
  </mergeCells>
  <pageMargins left="0.98425196850393704" right="0.59055118110236227" top="0.59055118110236227" bottom="0.59055118110236227" header="0.51181102362204722" footer="0.51181102362204722"/>
  <pageSetup paperSize="9" scale="77" firstPageNumber="0" fitToHeight="0" orientation="portrait" verticalDpi="300" r:id="rId1"/>
  <headerFooter>
    <oddHeader>&amp;R2022.01.hó</oddHeader>
  </headerFooter>
  <rowBreaks count="1" manualBreakCount="1"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45"/>
  <sheetViews>
    <sheetView topLeftCell="A29" zoomScaleNormal="100" workbookViewId="0">
      <selection activeCell="M28" sqref="M28"/>
    </sheetView>
  </sheetViews>
  <sheetFormatPr defaultRowHeight="12.75" x14ac:dyDescent="0.2"/>
  <cols>
    <col min="1" max="1" width="12.28515625" customWidth="1"/>
    <col min="2" max="2" width="35.5703125" customWidth="1"/>
    <col min="3" max="3" width="14.140625" customWidth="1"/>
    <col min="4" max="4" width="15.42578125" customWidth="1"/>
    <col min="5" max="5" width="12.5703125" customWidth="1"/>
    <col min="6" max="6" width="16" style="79" customWidth="1"/>
    <col min="7" max="7" width="12.42578125" customWidth="1"/>
    <col min="8" max="8" width="10.7109375" style="77" customWidth="1"/>
    <col min="9" max="9" width="3.42578125" customWidth="1"/>
    <col min="10" max="10" width="8.42578125" customWidth="1"/>
    <col min="11" max="11" width="11.85546875" customWidth="1"/>
    <col min="12" max="12" width="12.5703125" customWidth="1"/>
    <col min="13" max="13" width="8.42578125" customWidth="1"/>
    <col min="14" max="14" width="10.5703125" customWidth="1"/>
    <col min="15" max="15" width="12.42578125" customWidth="1"/>
    <col min="16" max="1024" width="8.42578125" customWidth="1"/>
  </cols>
  <sheetData>
    <row r="1" spans="1:11" x14ac:dyDescent="0.2">
      <c r="E1" s="842" t="s">
        <v>265</v>
      </c>
      <c r="F1" s="843"/>
    </row>
    <row r="2" spans="1:11" ht="15.75" x14ac:dyDescent="0.25">
      <c r="A2" s="782" t="s">
        <v>680</v>
      </c>
      <c r="B2" s="782"/>
      <c r="C2" s="782"/>
      <c r="D2" s="782"/>
      <c r="E2" s="782"/>
      <c r="F2" s="782"/>
    </row>
    <row r="3" spans="1:11" ht="15.75" x14ac:dyDescent="0.25">
      <c r="A3" s="782" t="s">
        <v>390</v>
      </c>
      <c r="B3" s="782"/>
      <c r="C3" s="782"/>
      <c r="D3" s="782"/>
      <c r="E3" s="782"/>
      <c r="F3" s="782"/>
    </row>
    <row r="4" spans="1:11" ht="21.75" customHeight="1" x14ac:dyDescent="0.2">
      <c r="F4" s="50"/>
    </row>
    <row r="5" spans="1:11" ht="18" customHeight="1" x14ac:dyDescent="0.2">
      <c r="A5" s="841" t="s">
        <v>266</v>
      </c>
      <c r="B5" s="841"/>
      <c r="C5" s="841"/>
      <c r="D5" s="841"/>
      <c r="E5" s="841"/>
      <c r="F5" s="841"/>
      <c r="H5" s="119"/>
    </row>
    <row r="6" spans="1:11" s="39" customFormat="1" ht="18" customHeight="1" thickBot="1" x14ac:dyDescent="0.25">
      <c r="A6" s="81"/>
      <c r="B6" s="81"/>
      <c r="C6" s="81"/>
      <c r="D6" s="81"/>
      <c r="E6" s="81"/>
      <c r="F6" s="81"/>
      <c r="H6" s="148"/>
    </row>
    <row r="7" spans="1:11" ht="23.25" customHeight="1" thickBot="1" x14ac:dyDescent="0.25">
      <c r="A7" s="805" t="s">
        <v>115</v>
      </c>
      <c r="B7" s="805"/>
      <c r="C7" s="805"/>
      <c r="D7" s="805"/>
      <c r="E7" s="805"/>
      <c r="F7" s="805"/>
    </row>
    <row r="8" spans="1:11" ht="17.25" customHeight="1" thickBot="1" x14ac:dyDescent="0.25">
      <c r="A8" s="837" t="s">
        <v>46</v>
      </c>
      <c r="B8" s="838" t="s">
        <v>47</v>
      </c>
      <c r="C8" s="825">
        <v>2022</v>
      </c>
      <c r="D8" s="826"/>
      <c r="E8" s="826"/>
      <c r="F8" s="457">
        <v>2023</v>
      </c>
    </row>
    <row r="9" spans="1:11" ht="24.75" customHeight="1" thickBot="1" x14ac:dyDescent="0.25">
      <c r="A9" s="837"/>
      <c r="B9" s="838"/>
      <c r="C9" s="149" t="s">
        <v>48</v>
      </c>
      <c r="D9" s="149" t="s">
        <v>509</v>
      </c>
      <c r="E9" s="149" t="s">
        <v>384</v>
      </c>
      <c r="F9" s="456" t="s">
        <v>510</v>
      </c>
    </row>
    <row r="10" spans="1:11" ht="15" customHeight="1" x14ac:dyDescent="0.2">
      <c r="A10" s="150" t="s">
        <v>142</v>
      </c>
      <c r="B10" s="151" t="s">
        <v>267</v>
      </c>
      <c r="C10" s="152">
        <v>0</v>
      </c>
      <c r="D10" s="152">
        <f>F10-C10</f>
        <v>0</v>
      </c>
      <c r="E10" s="310">
        <v>0</v>
      </c>
      <c r="F10" s="153">
        <f>'Kiadások részletes COFOG'!F14</f>
        <v>0</v>
      </c>
    </row>
    <row r="11" spans="1:11" ht="15" customHeight="1" x14ac:dyDescent="0.2">
      <c r="A11" s="327" t="s">
        <v>289</v>
      </c>
      <c r="B11" s="151" t="s">
        <v>290</v>
      </c>
      <c r="C11" s="152">
        <v>0</v>
      </c>
      <c r="D11" s="152">
        <f>F11-C11</f>
        <v>0</v>
      </c>
      <c r="E11" s="310"/>
      <c r="F11" s="153">
        <v>0</v>
      </c>
    </row>
    <row r="12" spans="1:11" ht="15" customHeight="1" x14ac:dyDescent="0.2">
      <c r="A12" s="327" t="s">
        <v>424</v>
      </c>
      <c r="B12" s="151" t="s">
        <v>483</v>
      </c>
      <c r="C12" s="152"/>
      <c r="D12" s="152"/>
      <c r="E12" s="310"/>
      <c r="F12" s="153"/>
    </row>
    <row r="13" spans="1:11" ht="15" customHeight="1" x14ac:dyDescent="0.2">
      <c r="A13" s="154" t="s">
        <v>146</v>
      </c>
      <c r="B13" s="87" t="s">
        <v>147</v>
      </c>
      <c r="C13" s="106">
        <v>0</v>
      </c>
      <c r="D13" s="152">
        <f>F13-C13</f>
        <v>0</v>
      </c>
      <c r="E13" s="310"/>
      <c r="F13" s="107"/>
      <c r="K13" s="155"/>
    </row>
    <row r="14" spans="1:11" ht="15" customHeight="1" x14ac:dyDescent="0.2">
      <c r="A14" s="86" t="s">
        <v>152</v>
      </c>
      <c r="B14" s="87" t="s">
        <v>153</v>
      </c>
      <c r="C14" s="106">
        <v>20900000</v>
      </c>
      <c r="D14" s="152">
        <f>F14-C14</f>
        <v>410000</v>
      </c>
      <c r="E14" s="310">
        <f>F14/C14*100</f>
        <v>101.96172248803828</v>
      </c>
      <c r="F14" s="107">
        <f>'Kiadások részletes COFOG'!F25</f>
        <v>21310000</v>
      </c>
      <c r="G14" s="156"/>
    </row>
    <row r="15" spans="1:11" ht="22.5" customHeight="1" x14ac:dyDescent="0.2">
      <c r="A15" s="86" t="s">
        <v>154</v>
      </c>
      <c r="B15" s="87" t="s">
        <v>155</v>
      </c>
      <c r="C15" s="106">
        <v>1831820</v>
      </c>
      <c r="D15" s="152">
        <f>F15-C15</f>
        <v>-31820</v>
      </c>
      <c r="E15" s="310">
        <f>F15/C15*100</f>
        <v>98.262929763841427</v>
      </c>
      <c r="F15" s="107">
        <f>'Kiadások részletes COFOG'!F31</f>
        <v>1800000</v>
      </c>
    </row>
    <row r="16" spans="1:11" ht="15" customHeight="1" x14ac:dyDescent="0.2">
      <c r="A16" s="114" t="s">
        <v>399</v>
      </c>
      <c r="B16" s="87" t="s">
        <v>398</v>
      </c>
      <c r="C16" s="106">
        <v>150000</v>
      </c>
      <c r="D16" s="152">
        <f>F16-C16</f>
        <v>100000</v>
      </c>
      <c r="E16" s="310">
        <f>F16/C16*100</f>
        <v>166.66666666666669</v>
      </c>
      <c r="F16" s="107">
        <f>'Kiadások részletes COFOG'!F32</f>
        <v>250000</v>
      </c>
    </row>
    <row r="17" spans="1:6" x14ac:dyDescent="0.2">
      <c r="A17" s="819"/>
      <c r="B17" s="820"/>
      <c r="C17" s="499">
        <f>SUM(C10:C16)</f>
        <v>22881820</v>
      </c>
      <c r="D17" s="499">
        <f>SUM(D10:D16)</f>
        <v>478180</v>
      </c>
      <c r="E17" s="500">
        <f>F17/C17*100</f>
        <v>102.08978131984256</v>
      </c>
      <c r="F17" s="501">
        <f>SUM(F10:F16)</f>
        <v>23360000</v>
      </c>
    </row>
    <row r="18" spans="1:6" ht="15" customHeight="1" x14ac:dyDescent="0.2">
      <c r="A18" s="86" t="s">
        <v>158</v>
      </c>
      <c r="B18" s="87" t="s">
        <v>159</v>
      </c>
      <c r="C18" s="106">
        <v>3100000</v>
      </c>
      <c r="D18" s="152">
        <f>F18-C18</f>
        <v>0</v>
      </c>
      <c r="E18" s="310">
        <f>F18/C18*100</f>
        <v>100</v>
      </c>
      <c r="F18" s="107">
        <f>SUM('Kiadások részletes COFOG'!F36)</f>
        <v>3100000</v>
      </c>
    </row>
    <row r="19" spans="1:6" x14ac:dyDescent="0.2">
      <c r="A19" s="819"/>
      <c r="B19" s="820"/>
      <c r="C19" s="499">
        <f>SUM(C18:C18)</f>
        <v>3100000</v>
      </c>
      <c r="D19" s="499">
        <f>SUM(D18:D18)</f>
        <v>0</v>
      </c>
      <c r="E19" s="500">
        <f t="shared" ref="E19:E24" si="0">F19/C19*100</f>
        <v>100</v>
      </c>
      <c r="F19" s="501">
        <f>SUM(F18:F18)</f>
        <v>3100000</v>
      </c>
    </row>
    <row r="20" spans="1:6" ht="15" customHeight="1" x14ac:dyDescent="0.2">
      <c r="A20" s="86" t="s">
        <v>162</v>
      </c>
      <c r="B20" s="87" t="s">
        <v>391</v>
      </c>
      <c r="C20" s="106">
        <v>110000</v>
      </c>
      <c r="D20" s="152">
        <f t="shared" ref="D20:D24" si="1">F20-C20</f>
        <v>90000</v>
      </c>
      <c r="E20" s="310">
        <f t="shared" si="0"/>
        <v>181.81818181818181</v>
      </c>
      <c r="F20" s="107">
        <f>'Kiadások részletes COFOG'!F40</f>
        <v>200000</v>
      </c>
    </row>
    <row r="21" spans="1:6" ht="15" customHeight="1" x14ac:dyDescent="0.2">
      <c r="A21" s="86" t="s">
        <v>170</v>
      </c>
      <c r="B21" s="87" t="s">
        <v>171</v>
      </c>
      <c r="C21" s="106">
        <v>1800000</v>
      </c>
      <c r="D21" s="152">
        <f t="shared" si="1"/>
        <v>200000</v>
      </c>
      <c r="E21" s="310">
        <f t="shared" si="0"/>
        <v>111.11111111111111</v>
      </c>
      <c r="F21" s="107">
        <f>'Kiadások részletes COFOG'!F45</f>
        <v>2000000</v>
      </c>
    </row>
    <row r="22" spans="1:6" ht="15" customHeight="1" x14ac:dyDescent="0.2">
      <c r="A22" s="86" t="s">
        <v>184</v>
      </c>
      <c r="B22" s="87" t="s">
        <v>392</v>
      </c>
      <c r="C22" s="106">
        <v>1396800</v>
      </c>
      <c r="D22" s="152">
        <f t="shared" si="1"/>
        <v>643200</v>
      </c>
      <c r="E22" s="310">
        <f t="shared" si="0"/>
        <v>146.04810996563572</v>
      </c>
      <c r="F22" s="107">
        <f>'Kiadások részletes COFOG'!F49</f>
        <v>2040000</v>
      </c>
    </row>
    <row r="23" spans="1:6" ht="15" customHeight="1" x14ac:dyDescent="0.2">
      <c r="A23" s="86" t="s">
        <v>185</v>
      </c>
      <c r="B23" s="87" t="s">
        <v>186</v>
      </c>
      <c r="C23" s="106">
        <v>300000</v>
      </c>
      <c r="D23" s="152">
        <f t="shared" si="1"/>
        <v>-36000</v>
      </c>
      <c r="E23" s="310">
        <f t="shared" si="0"/>
        <v>88</v>
      </c>
      <c r="F23" s="107">
        <f>'Kiadások részletes COFOG'!F51</f>
        <v>264000</v>
      </c>
    </row>
    <row r="24" spans="1:6" ht="15" customHeight="1" x14ac:dyDescent="0.2">
      <c r="A24" s="114" t="s">
        <v>187</v>
      </c>
      <c r="B24" s="87" t="s">
        <v>288</v>
      </c>
      <c r="C24" s="106">
        <v>2500000</v>
      </c>
      <c r="D24" s="152">
        <f t="shared" si="1"/>
        <v>440000</v>
      </c>
      <c r="E24" s="310">
        <f t="shared" si="0"/>
        <v>117.6</v>
      </c>
      <c r="F24" s="107">
        <f>SUM(F25:F27)</f>
        <v>2940000</v>
      </c>
    </row>
    <row r="25" spans="1:6" ht="15" customHeight="1" x14ac:dyDescent="0.2">
      <c r="A25" s="86" t="s">
        <v>189</v>
      </c>
      <c r="B25" s="87" t="s">
        <v>268</v>
      </c>
      <c r="C25" s="106">
        <v>600000</v>
      </c>
      <c r="D25" s="152"/>
      <c r="E25" s="310">
        <v>0</v>
      </c>
      <c r="F25" s="107">
        <f>'Kiadások részletes COFOG'!F52</f>
        <v>420000</v>
      </c>
    </row>
    <row r="26" spans="1:6" ht="15" customHeight="1" x14ac:dyDescent="0.2">
      <c r="A26" s="86" t="s">
        <v>191</v>
      </c>
      <c r="B26" s="87" t="s">
        <v>269</v>
      </c>
      <c r="C26" s="106">
        <v>1700000</v>
      </c>
      <c r="D26" s="152"/>
      <c r="E26" s="310">
        <v>0</v>
      </c>
      <c r="F26" s="107">
        <f>'Kiadások részletes COFOG'!F53</f>
        <v>2400000</v>
      </c>
    </row>
    <row r="27" spans="1:6" ht="15" customHeight="1" x14ac:dyDescent="0.2">
      <c r="A27" s="114" t="s">
        <v>187</v>
      </c>
      <c r="B27" s="87" t="s">
        <v>393</v>
      </c>
      <c r="C27" s="106">
        <v>200000</v>
      </c>
      <c r="D27" s="152"/>
      <c r="E27" s="310">
        <v>0</v>
      </c>
      <c r="F27" s="107">
        <f>'Kiadások részletes COFOG'!F54</f>
        <v>120000</v>
      </c>
    </row>
    <row r="28" spans="1:6" x14ac:dyDescent="0.2">
      <c r="A28" s="86" t="s">
        <v>197</v>
      </c>
      <c r="B28" s="87" t="s">
        <v>198</v>
      </c>
      <c r="C28" s="106">
        <v>150000</v>
      </c>
      <c r="D28" s="152">
        <f t="shared" ref="D28:D35" si="2">F28-C28</f>
        <v>0</v>
      </c>
      <c r="E28" s="310">
        <f t="shared" ref="E28:E37" si="3">F28/C28*100</f>
        <v>100</v>
      </c>
      <c r="F28" s="107">
        <f>'Kiadások részletes COFOG'!F59</f>
        <v>150000</v>
      </c>
    </row>
    <row r="29" spans="1:6" ht="15" customHeight="1" x14ac:dyDescent="0.2">
      <c r="A29" s="86" t="s">
        <v>199</v>
      </c>
      <c r="B29" s="87" t="s">
        <v>200</v>
      </c>
      <c r="C29" s="106">
        <v>660000</v>
      </c>
      <c r="D29" s="152">
        <f t="shared" si="2"/>
        <v>150000</v>
      </c>
      <c r="E29" s="310">
        <f t="shared" si="3"/>
        <v>122.72727272727273</v>
      </c>
      <c r="F29" s="107">
        <f>'Kiadások részletes COFOG'!F63</f>
        <v>810000</v>
      </c>
    </row>
    <row r="30" spans="1:6" ht="15" customHeight="1" x14ac:dyDescent="0.2">
      <c r="A30" s="114" t="s">
        <v>394</v>
      </c>
      <c r="B30" s="87" t="s">
        <v>395</v>
      </c>
      <c r="C30" s="106">
        <v>5190000</v>
      </c>
      <c r="D30" s="152">
        <f t="shared" si="2"/>
        <v>-2190000</v>
      </c>
      <c r="E30" s="310">
        <f t="shared" si="3"/>
        <v>57.80346820809249</v>
      </c>
      <c r="F30" s="107">
        <f>'Kiadások részletes COFOG'!F74</f>
        <v>3000000</v>
      </c>
    </row>
    <row r="31" spans="1:6" ht="15" customHeight="1" x14ac:dyDescent="0.2">
      <c r="A31" s="86" t="s">
        <v>201</v>
      </c>
      <c r="B31" s="87" t="s">
        <v>202</v>
      </c>
      <c r="C31" s="106">
        <v>2656000</v>
      </c>
      <c r="D31" s="152">
        <f t="shared" si="2"/>
        <v>504000</v>
      </c>
      <c r="E31" s="310">
        <f t="shared" si="3"/>
        <v>118.97590361445782</v>
      </c>
      <c r="F31" s="107">
        <f>'Kiadások részletes COFOG'!F80</f>
        <v>3160000</v>
      </c>
    </row>
    <row r="32" spans="1:6" ht="15" customHeight="1" x14ac:dyDescent="0.2">
      <c r="A32" s="86" t="s">
        <v>205</v>
      </c>
      <c r="B32" s="87" t="s">
        <v>206</v>
      </c>
      <c r="C32" s="106">
        <v>5020000</v>
      </c>
      <c r="D32" s="152">
        <f t="shared" si="2"/>
        <v>100000</v>
      </c>
      <c r="E32" s="310">
        <f t="shared" si="3"/>
        <v>101.99203187250995</v>
      </c>
      <c r="F32" s="107">
        <f>'Kiadások részletes COFOG'!F88</f>
        <v>5120000</v>
      </c>
    </row>
    <row r="33" spans="1:12" ht="15" customHeight="1" x14ac:dyDescent="0.2">
      <c r="A33" s="114" t="s">
        <v>270</v>
      </c>
      <c r="B33" s="87" t="s">
        <v>396</v>
      </c>
      <c r="C33" s="106">
        <v>100000</v>
      </c>
      <c r="D33" s="152">
        <f t="shared" si="2"/>
        <v>-100000</v>
      </c>
      <c r="E33" s="310">
        <f t="shared" si="3"/>
        <v>0</v>
      </c>
      <c r="F33" s="107">
        <f>SUM('Kiadások részletes COFOG'!F89)</f>
        <v>0</v>
      </c>
    </row>
    <row r="34" spans="1:12" ht="21.75" customHeight="1" x14ac:dyDescent="0.2">
      <c r="A34" s="86" t="s">
        <v>213</v>
      </c>
      <c r="B34" s="87" t="s">
        <v>271</v>
      </c>
      <c r="C34" s="106">
        <v>2500000</v>
      </c>
      <c r="D34" s="152">
        <f t="shared" si="2"/>
        <v>1500000</v>
      </c>
      <c r="E34" s="310">
        <f t="shared" si="3"/>
        <v>160</v>
      </c>
      <c r="F34" s="107">
        <f>'Kiadások részletes COFOG'!F90</f>
        <v>4000000</v>
      </c>
      <c r="L34" s="77"/>
    </row>
    <row r="35" spans="1:12" ht="15" customHeight="1" x14ac:dyDescent="0.2">
      <c r="A35" s="86" t="s">
        <v>215</v>
      </c>
      <c r="B35" s="87" t="s">
        <v>216</v>
      </c>
      <c r="C35" s="106">
        <v>2500000</v>
      </c>
      <c r="D35" s="152">
        <f t="shared" si="2"/>
        <v>1900000</v>
      </c>
      <c r="E35" s="310">
        <f t="shared" si="3"/>
        <v>176</v>
      </c>
      <c r="F35" s="107">
        <f>SUM('Kiadások részletes COFOG'!F91)</f>
        <v>4400000</v>
      </c>
      <c r="L35" s="77"/>
    </row>
    <row r="36" spans="1:12" ht="15" customHeight="1" x14ac:dyDescent="0.2">
      <c r="A36" s="86" t="s">
        <v>217</v>
      </c>
      <c r="B36" s="87" t="s">
        <v>218</v>
      </c>
      <c r="C36" s="106">
        <v>10000</v>
      </c>
      <c r="D36" s="152">
        <f>F36-C36</f>
        <v>0</v>
      </c>
      <c r="E36" s="310">
        <f t="shared" si="3"/>
        <v>100</v>
      </c>
      <c r="F36" s="107">
        <f>'Kiadások részletes COFOG'!F92</f>
        <v>10000</v>
      </c>
    </row>
    <row r="37" spans="1:12" ht="15" customHeight="1" x14ac:dyDescent="0.2">
      <c r="A37" s="86" t="s">
        <v>219</v>
      </c>
      <c r="B37" s="87" t="s">
        <v>220</v>
      </c>
      <c r="C37" s="106">
        <v>220000</v>
      </c>
      <c r="D37" s="152">
        <f>F37-C37</f>
        <v>210000</v>
      </c>
      <c r="E37" s="310">
        <f t="shared" si="3"/>
        <v>195.45454545454547</v>
      </c>
      <c r="F37" s="107">
        <f>'Kiadások részletes COFOG'!F98</f>
        <v>430000</v>
      </c>
    </row>
    <row r="38" spans="1:12" x14ac:dyDescent="0.2">
      <c r="A38" s="819"/>
      <c r="B38" s="820"/>
      <c r="C38" s="499">
        <f>SUM(C20:C24,C28:C37)</f>
        <v>25112800</v>
      </c>
      <c r="D38" s="499">
        <f>SUM(D20:D24,D28:D37)</f>
        <v>3411200</v>
      </c>
      <c r="E38" s="500">
        <f>F38/C38*100</f>
        <v>113.58351119747698</v>
      </c>
      <c r="F38" s="501">
        <f>SUM(F20:F24,F28:F37)</f>
        <v>28524000</v>
      </c>
    </row>
    <row r="39" spans="1:12" ht="24" customHeight="1" x14ac:dyDescent="0.2">
      <c r="A39" s="86" t="s">
        <v>232</v>
      </c>
      <c r="B39" s="87" t="s">
        <v>233</v>
      </c>
      <c r="C39" s="106">
        <v>0</v>
      </c>
      <c r="D39" s="152">
        <f t="shared" ref="D39:D45" si="4">F39-C39</f>
        <v>0</v>
      </c>
      <c r="E39" s="310"/>
      <c r="F39" s="107">
        <v>0</v>
      </c>
    </row>
    <row r="40" spans="1:12" ht="31.5" customHeight="1" x14ac:dyDescent="0.2">
      <c r="A40" s="86" t="s">
        <v>234</v>
      </c>
      <c r="B40" s="87" t="s">
        <v>235</v>
      </c>
      <c r="C40" s="106"/>
      <c r="D40" s="152">
        <f t="shared" si="4"/>
        <v>0</v>
      </c>
      <c r="E40" s="310"/>
      <c r="F40" s="107"/>
    </row>
    <row r="41" spans="1:12" ht="31.5" customHeight="1" x14ac:dyDescent="0.2">
      <c r="A41" s="114" t="s">
        <v>545</v>
      </c>
      <c r="B41" s="87" t="s">
        <v>546</v>
      </c>
      <c r="C41" s="106"/>
      <c r="D41" s="152">
        <f t="shared" si="4"/>
        <v>0</v>
      </c>
      <c r="E41" s="310"/>
      <c r="F41" s="107"/>
    </row>
    <row r="42" spans="1:12" ht="31.5" x14ac:dyDescent="0.2">
      <c r="A42" s="114" t="s">
        <v>239</v>
      </c>
      <c r="B42" s="87" t="s">
        <v>273</v>
      </c>
      <c r="C42" s="106"/>
      <c r="D42" s="152">
        <f t="shared" si="4"/>
        <v>0</v>
      </c>
      <c r="E42" s="310"/>
      <c r="F42" s="107"/>
    </row>
    <row r="43" spans="1:12" ht="15" customHeight="1" x14ac:dyDescent="0.2">
      <c r="A43" s="844" t="s">
        <v>35</v>
      </c>
      <c r="B43" s="87" t="s">
        <v>274</v>
      </c>
      <c r="C43" s="106">
        <v>9749307</v>
      </c>
      <c r="D43" s="152">
        <f t="shared" si="4"/>
        <v>7271616</v>
      </c>
      <c r="E43" s="310">
        <f>F43/C43*100</f>
        <v>174.58597826491669</v>
      </c>
      <c r="F43" s="107">
        <f>'Kiadások részletes COFOG'!F104</f>
        <v>17020923</v>
      </c>
    </row>
    <row r="44" spans="1:12" ht="15" customHeight="1" x14ac:dyDescent="0.2">
      <c r="A44" s="844"/>
      <c r="B44" s="87" t="s">
        <v>275</v>
      </c>
      <c r="C44" s="106">
        <v>195696849</v>
      </c>
      <c r="D44" s="152">
        <f t="shared" si="4"/>
        <v>36929529</v>
      </c>
      <c r="E44" s="310">
        <f>F44/C44*100</f>
        <v>118.87078365784009</v>
      </c>
      <c r="F44" s="107">
        <f>SUM('Kiadások részletes COFOG'!F105:F113)</f>
        <v>232626378</v>
      </c>
    </row>
    <row r="45" spans="1:12" ht="15" customHeight="1" x14ac:dyDescent="0.2">
      <c r="A45" s="844"/>
      <c r="B45" s="87" t="s">
        <v>38</v>
      </c>
      <c r="C45" s="106">
        <v>0</v>
      </c>
      <c r="D45" s="152">
        <f t="shared" si="4"/>
        <v>0</v>
      </c>
      <c r="E45" s="310"/>
      <c r="F45" s="107">
        <f>'Kiadások részletes COFOG'!F113</f>
        <v>0</v>
      </c>
      <c r="G45" s="157"/>
    </row>
    <row r="46" spans="1:12" x14ac:dyDescent="0.2">
      <c r="A46" s="819"/>
      <c r="B46" s="820"/>
      <c r="C46" s="499">
        <f>SUM(C39:C45)</f>
        <v>205446156</v>
      </c>
      <c r="D46" s="499">
        <f t="shared" ref="D46" si="5">SUM(D39:D45)</f>
        <v>44201145</v>
      </c>
      <c r="E46" s="500">
        <f t="shared" ref="E46:E51" si="6">F46/C46*100</f>
        <v>121.51471016084623</v>
      </c>
      <c r="F46" s="501">
        <f>SUM(F39:F45)</f>
        <v>249647301</v>
      </c>
      <c r="G46" s="157"/>
    </row>
    <row r="47" spans="1:12" ht="15" customHeight="1" x14ac:dyDescent="0.2">
      <c r="A47" s="86" t="s">
        <v>241</v>
      </c>
      <c r="B47" s="87" t="s">
        <v>242</v>
      </c>
      <c r="C47" s="106">
        <v>5200000</v>
      </c>
      <c r="D47" s="152">
        <f>F47-C47</f>
        <v>-3830000</v>
      </c>
      <c r="E47" s="310">
        <f t="shared" si="6"/>
        <v>26.346153846153847</v>
      </c>
      <c r="F47" s="107">
        <f>'Kiadások részletes COFOG'!F115</f>
        <v>1370000</v>
      </c>
      <c r="H47" s="158"/>
    </row>
    <row r="48" spans="1:12" ht="16.5" customHeight="1" x14ac:dyDescent="0.2">
      <c r="A48" s="86" t="s">
        <v>245</v>
      </c>
      <c r="B48" s="87" t="s">
        <v>246</v>
      </c>
      <c r="C48" s="106">
        <v>150000</v>
      </c>
      <c r="D48" s="152">
        <f>F48-C48</f>
        <v>0</v>
      </c>
      <c r="E48" s="310">
        <f t="shared" si="6"/>
        <v>100</v>
      </c>
      <c r="F48" s="107">
        <f>'Kiadások részletes COFOG'!F116</f>
        <v>150000</v>
      </c>
    </row>
    <row r="49" spans="1:9" ht="15.75" customHeight="1" x14ac:dyDescent="0.2">
      <c r="A49" s="86" t="s">
        <v>247</v>
      </c>
      <c r="B49" s="87" t="s">
        <v>248</v>
      </c>
      <c r="C49" s="106">
        <v>0</v>
      </c>
      <c r="D49" s="152">
        <f>F49-C49</f>
        <v>100000</v>
      </c>
      <c r="E49" s="310">
        <v>0</v>
      </c>
      <c r="F49" s="107">
        <f>'Kiadások részletes COFOG'!F117</f>
        <v>100000</v>
      </c>
    </row>
    <row r="50" spans="1:9" ht="21" x14ac:dyDescent="0.2">
      <c r="A50" s="86" t="s">
        <v>249</v>
      </c>
      <c r="B50" s="87" t="s">
        <v>276</v>
      </c>
      <c r="C50" s="106">
        <v>1450000</v>
      </c>
      <c r="D50" s="152">
        <f>F50-C50</f>
        <v>-1000000</v>
      </c>
      <c r="E50" s="310">
        <f t="shared" si="6"/>
        <v>31.03448275862069</v>
      </c>
      <c r="F50" s="107">
        <f>'Kiadások részletes COFOG'!F118</f>
        <v>450000</v>
      </c>
    </row>
    <row r="51" spans="1:9" x14ac:dyDescent="0.2">
      <c r="A51" s="819"/>
      <c r="B51" s="820"/>
      <c r="C51" s="499">
        <f>SUM(C47:C50)</f>
        <v>6800000</v>
      </c>
      <c r="D51" s="499">
        <f t="shared" ref="D51" si="7">SUM(D47:D50)</f>
        <v>-4730000</v>
      </c>
      <c r="E51" s="500">
        <f t="shared" si="6"/>
        <v>30.441176470588232</v>
      </c>
      <c r="F51" s="501">
        <f>SUM(F47:F50)</f>
        <v>2070000</v>
      </c>
    </row>
    <row r="52" spans="1:9" ht="15" customHeight="1" x14ac:dyDescent="0.2">
      <c r="A52" s="86" t="s">
        <v>251</v>
      </c>
      <c r="B52" s="87" t="s">
        <v>252</v>
      </c>
      <c r="C52" s="106">
        <v>0</v>
      </c>
      <c r="D52" s="152">
        <f>F52-C52</f>
        <v>0</v>
      </c>
      <c r="E52" s="310"/>
      <c r="F52" s="107">
        <f>'Kiadások részletes COFOG'!F121</f>
        <v>0</v>
      </c>
    </row>
    <row r="53" spans="1:9" ht="21" x14ac:dyDescent="0.2">
      <c r="A53" s="91" t="s">
        <v>255</v>
      </c>
      <c r="B53" s="159" t="s">
        <v>277</v>
      </c>
      <c r="C53" s="431">
        <v>0</v>
      </c>
      <c r="D53" s="152">
        <f>F53-C53</f>
        <v>0</v>
      </c>
      <c r="E53" s="310"/>
      <c r="F53" s="96">
        <f>'Kiadások részletes COFOG'!F122</f>
        <v>0</v>
      </c>
    </row>
    <row r="54" spans="1:9" x14ac:dyDescent="0.2">
      <c r="A54" s="819"/>
      <c r="B54" s="820"/>
      <c r="C54" s="499">
        <f>SUM(C52:C53)</f>
        <v>0</v>
      </c>
      <c r="D54" s="499">
        <f t="shared" ref="D54" si="8">SUM(D52:D53)</f>
        <v>0</v>
      </c>
      <c r="E54" s="500"/>
      <c r="F54" s="501">
        <f>SUM(F52:F53)</f>
        <v>0</v>
      </c>
    </row>
    <row r="55" spans="1:9" ht="22.5" customHeight="1" thickBot="1" x14ac:dyDescent="0.25">
      <c r="A55" s="91" t="s">
        <v>258</v>
      </c>
      <c r="B55" s="92" t="s">
        <v>278</v>
      </c>
      <c r="C55" s="95">
        <v>0</v>
      </c>
      <c r="D55" s="152">
        <f>F55-C55</f>
        <v>0</v>
      </c>
      <c r="E55" s="310"/>
      <c r="F55" s="96">
        <v>0</v>
      </c>
    </row>
    <row r="56" spans="1:9" ht="23.25" customHeight="1" thickBot="1" x14ac:dyDescent="0.25">
      <c r="A56" s="821" t="s">
        <v>279</v>
      </c>
      <c r="B56" s="821"/>
      <c r="C56" s="93">
        <f>SUM(C17,C19,C38,C46,C51,C54,C55)</f>
        <v>263340776</v>
      </c>
      <c r="D56" s="93">
        <f>SUM(D17,D19,D38,D46,D51,D54,D55)</f>
        <v>43360525</v>
      </c>
      <c r="E56" s="311">
        <f>F56/C56*100</f>
        <v>116.46555678107366</v>
      </c>
      <c r="F56" s="94">
        <f>SUM(F17,F19,F38,F46,F51,F54,F55)</f>
        <v>306701301</v>
      </c>
      <c r="G56" s="77"/>
    </row>
    <row r="57" spans="1:9" ht="26.25" customHeight="1" thickBot="1" x14ac:dyDescent="0.25">
      <c r="A57" s="805" t="s">
        <v>121</v>
      </c>
      <c r="B57" s="805"/>
      <c r="C57" s="805"/>
      <c r="D57" s="805"/>
      <c r="E57" s="805"/>
      <c r="F57" s="805"/>
    </row>
    <row r="58" spans="1:9" ht="21.75" customHeight="1" x14ac:dyDescent="0.2">
      <c r="A58" s="834" t="s">
        <v>46</v>
      </c>
      <c r="B58" s="835" t="s">
        <v>47</v>
      </c>
      <c r="C58" s="825">
        <v>2022</v>
      </c>
      <c r="D58" s="826"/>
      <c r="E58" s="826"/>
      <c r="F58" s="457">
        <v>2023</v>
      </c>
    </row>
    <row r="59" spans="1:9" ht="24.75" customHeight="1" thickBot="1" x14ac:dyDescent="0.25">
      <c r="A59" s="834"/>
      <c r="B59" s="835"/>
      <c r="C59" s="149" t="s">
        <v>48</v>
      </c>
      <c r="D59" s="149" t="s">
        <v>509</v>
      </c>
      <c r="E59" s="149" t="s">
        <v>384</v>
      </c>
      <c r="F59" s="456" t="s">
        <v>510</v>
      </c>
    </row>
    <row r="60" spans="1:9" ht="15.95" customHeight="1" x14ac:dyDescent="0.2">
      <c r="A60" s="86" t="s">
        <v>170</v>
      </c>
      <c r="B60" s="87" t="s">
        <v>171</v>
      </c>
      <c r="C60" s="351">
        <v>50000</v>
      </c>
      <c r="D60" s="106">
        <f t="shared" ref="D60:D70" si="9">F60-C60</f>
        <v>0</v>
      </c>
      <c r="E60" s="197"/>
      <c r="F60" s="107">
        <f>'Kiadások részletes COFOG'!F127</f>
        <v>50000</v>
      </c>
    </row>
    <row r="61" spans="1:9" ht="15.95" customHeight="1" x14ac:dyDescent="0.2">
      <c r="A61" s="86" t="s">
        <v>189</v>
      </c>
      <c r="B61" s="87" t="s">
        <v>268</v>
      </c>
      <c r="C61" s="351"/>
      <c r="D61" s="106">
        <f t="shared" si="9"/>
        <v>0</v>
      </c>
      <c r="E61" s="197"/>
      <c r="F61" s="107"/>
    </row>
    <row r="62" spans="1:9" ht="15.95" customHeight="1" x14ac:dyDescent="0.2">
      <c r="A62" s="86" t="s">
        <v>193</v>
      </c>
      <c r="B62" s="87" t="s">
        <v>280</v>
      </c>
      <c r="C62" s="351">
        <v>0</v>
      </c>
      <c r="D62" s="106">
        <f t="shared" si="9"/>
        <v>0</v>
      </c>
      <c r="E62" s="197"/>
      <c r="F62" s="107">
        <f>'Kiadások részletes COFOG'!F130</f>
        <v>0</v>
      </c>
      <c r="I62" s="69"/>
    </row>
    <row r="63" spans="1:9" ht="15.95" customHeight="1" x14ac:dyDescent="0.2">
      <c r="A63" s="86" t="s">
        <v>199</v>
      </c>
      <c r="B63" s="87" t="s">
        <v>200</v>
      </c>
      <c r="C63" s="351">
        <v>200000</v>
      </c>
      <c r="D63" s="106">
        <f t="shared" si="9"/>
        <v>-100000</v>
      </c>
      <c r="E63" s="197"/>
      <c r="F63" s="107">
        <f>'Kiadások részletes COFOG'!F133</f>
        <v>100000</v>
      </c>
    </row>
    <row r="64" spans="1:9" ht="15.95" customHeight="1" x14ac:dyDescent="0.2">
      <c r="A64" s="86" t="s">
        <v>205</v>
      </c>
      <c r="B64" s="87" t="s">
        <v>206</v>
      </c>
      <c r="C64" s="351">
        <v>600000</v>
      </c>
      <c r="D64" s="106">
        <f t="shared" si="9"/>
        <v>0</v>
      </c>
      <c r="E64" s="197">
        <f>F64/C64*100</f>
        <v>100</v>
      </c>
      <c r="F64" s="107">
        <f>'Kiadások részletes COFOG'!F135</f>
        <v>600000</v>
      </c>
    </row>
    <row r="65" spans="1:6" ht="15.95" customHeight="1" x14ac:dyDescent="0.2">
      <c r="A65" s="86" t="s">
        <v>209</v>
      </c>
      <c r="B65" s="87" t="s">
        <v>210</v>
      </c>
      <c r="C65" s="351"/>
      <c r="D65" s="106">
        <f t="shared" si="9"/>
        <v>0</v>
      </c>
      <c r="E65" s="197"/>
      <c r="F65" s="107"/>
    </row>
    <row r="66" spans="1:6" ht="20.25" customHeight="1" x14ac:dyDescent="0.2">
      <c r="A66" s="86" t="s">
        <v>213</v>
      </c>
      <c r="B66" s="87" t="s">
        <v>271</v>
      </c>
      <c r="C66" s="351">
        <v>230000</v>
      </c>
      <c r="D66" s="106">
        <f t="shared" si="9"/>
        <v>-27500</v>
      </c>
      <c r="E66" s="197">
        <f>F66/C66*100</f>
        <v>88.043478260869563</v>
      </c>
      <c r="F66" s="107">
        <f>'Kiadások részletes COFOG'!F136</f>
        <v>202500</v>
      </c>
    </row>
    <row r="67" spans="1:6" ht="15.75" customHeight="1" x14ac:dyDescent="0.2">
      <c r="A67" s="114" t="s">
        <v>247</v>
      </c>
      <c r="B67" s="87" t="s">
        <v>281</v>
      </c>
      <c r="C67" s="351"/>
      <c r="D67" s="106">
        <f t="shared" si="9"/>
        <v>0</v>
      </c>
      <c r="E67" s="197"/>
      <c r="F67" s="107"/>
    </row>
    <row r="68" spans="1:6" ht="21.75" customHeight="1" x14ac:dyDescent="0.2">
      <c r="A68" s="91" t="s">
        <v>249</v>
      </c>
      <c r="B68" s="92" t="s">
        <v>276</v>
      </c>
      <c r="C68" s="418"/>
      <c r="D68" s="106">
        <f t="shared" si="9"/>
        <v>0</v>
      </c>
      <c r="E68" s="197"/>
      <c r="F68" s="96"/>
    </row>
    <row r="69" spans="1:6" ht="15" customHeight="1" x14ac:dyDescent="0.2">
      <c r="A69" s="114" t="s">
        <v>251</v>
      </c>
      <c r="B69" s="87" t="s">
        <v>352</v>
      </c>
      <c r="C69" s="351">
        <v>0</v>
      </c>
      <c r="D69" s="106">
        <f t="shared" si="9"/>
        <v>0</v>
      </c>
      <c r="E69" s="197"/>
      <c r="F69" s="107">
        <f>'Kiadások részletes COFOG'!F139</f>
        <v>0</v>
      </c>
    </row>
    <row r="70" spans="1:6" ht="22.5" customHeight="1" thickBot="1" x14ac:dyDescent="0.25">
      <c r="A70" s="91" t="s">
        <v>255</v>
      </c>
      <c r="B70" s="92" t="s">
        <v>277</v>
      </c>
      <c r="C70" s="418">
        <v>0</v>
      </c>
      <c r="D70" s="106">
        <f t="shared" si="9"/>
        <v>0</v>
      </c>
      <c r="E70" s="197"/>
      <c r="F70" s="96">
        <f>'Kiadások részletes COFOG'!F140</f>
        <v>0</v>
      </c>
    </row>
    <row r="71" spans="1:6" ht="27" customHeight="1" thickBot="1" x14ac:dyDescent="0.25">
      <c r="A71" s="821" t="s">
        <v>279</v>
      </c>
      <c r="B71" s="821"/>
      <c r="C71" s="93">
        <f>SUM(C60:C70)</f>
        <v>1080000</v>
      </c>
      <c r="D71" s="93">
        <f>SUM(D60:D70)</f>
        <v>-127500</v>
      </c>
      <c r="E71" s="311">
        <f>F71/C71*100</f>
        <v>88.194444444444443</v>
      </c>
      <c r="F71" s="94">
        <f>SUM(F60:F70)</f>
        <v>952500</v>
      </c>
    </row>
    <row r="72" spans="1:6" ht="26.25" customHeight="1" thickBot="1" x14ac:dyDescent="0.25">
      <c r="A72" s="805" t="s">
        <v>282</v>
      </c>
      <c r="B72" s="805"/>
      <c r="C72" s="805"/>
      <c r="D72" s="805"/>
      <c r="E72" s="805"/>
      <c r="F72" s="805"/>
    </row>
    <row r="73" spans="1:6" ht="17.25" customHeight="1" thickBot="1" x14ac:dyDescent="0.25">
      <c r="A73" s="823" t="s">
        <v>46</v>
      </c>
      <c r="B73" s="824" t="s">
        <v>47</v>
      </c>
      <c r="C73" s="825">
        <v>2022</v>
      </c>
      <c r="D73" s="826"/>
      <c r="E73" s="826"/>
      <c r="F73" s="457">
        <v>2023</v>
      </c>
    </row>
    <row r="74" spans="1:6" ht="25.5" customHeight="1" thickBot="1" x14ac:dyDescent="0.25">
      <c r="A74" s="823"/>
      <c r="B74" s="824"/>
      <c r="C74" s="149" t="s">
        <v>48</v>
      </c>
      <c r="D74" s="149" t="s">
        <v>509</v>
      </c>
      <c r="E74" s="149" t="s">
        <v>384</v>
      </c>
      <c r="F74" s="456" t="s">
        <v>510</v>
      </c>
    </row>
    <row r="75" spans="1:6" ht="15" customHeight="1" x14ac:dyDescent="0.2">
      <c r="A75" s="86" t="s">
        <v>170</v>
      </c>
      <c r="B75" s="87" t="s">
        <v>171</v>
      </c>
      <c r="C75" s="351">
        <v>40000</v>
      </c>
      <c r="D75" s="106">
        <f t="shared" ref="D75:D85" si="10">F75-C75</f>
        <v>10000</v>
      </c>
      <c r="E75" s="197"/>
      <c r="F75" s="107">
        <f>'Kiadások részletes COFOG'!F145</f>
        <v>50000</v>
      </c>
    </row>
    <row r="76" spans="1:6" ht="15" customHeight="1" x14ac:dyDescent="0.2">
      <c r="A76" s="114" t="s">
        <v>187</v>
      </c>
      <c r="B76" s="87" t="s">
        <v>288</v>
      </c>
      <c r="C76" s="351">
        <v>1600000</v>
      </c>
      <c r="D76" s="106">
        <f t="shared" si="10"/>
        <v>-16000</v>
      </c>
      <c r="E76" s="197">
        <f t="shared" ref="E76:E82" si="11">F76/C76*100</f>
        <v>99</v>
      </c>
      <c r="F76" s="107">
        <f>SUM(F77:F79)</f>
        <v>1584000</v>
      </c>
    </row>
    <row r="77" spans="1:6" ht="15" customHeight="1" x14ac:dyDescent="0.2">
      <c r="A77" s="86" t="s">
        <v>189</v>
      </c>
      <c r="B77" s="87" t="s">
        <v>406</v>
      </c>
      <c r="C77" s="351">
        <v>300000</v>
      </c>
      <c r="D77" s="106">
        <f t="shared" si="10"/>
        <v>180000</v>
      </c>
      <c r="E77" s="197">
        <f t="shared" si="11"/>
        <v>160</v>
      </c>
      <c r="F77" s="107">
        <f>'Kiadások részletes COFOG'!F146</f>
        <v>480000</v>
      </c>
    </row>
    <row r="78" spans="1:6" ht="15" customHeight="1" x14ac:dyDescent="0.2">
      <c r="A78" s="86" t="s">
        <v>191</v>
      </c>
      <c r="B78" s="87" t="s">
        <v>407</v>
      </c>
      <c r="C78" s="351">
        <v>1200000</v>
      </c>
      <c r="D78" s="106">
        <f t="shared" si="10"/>
        <v>-240000</v>
      </c>
      <c r="E78" s="197">
        <f t="shared" si="11"/>
        <v>80</v>
      </c>
      <c r="F78" s="107">
        <f>'Kiadások részletes COFOG'!F147</f>
        <v>960000</v>
      </c>
    </row>
    <row r="79" spans="1:6" ht="15" customHeight="1" x14ac:dyDescent="0.2">
      <c r="A79" s="86" t="s">
        <v>193</v>
      </c>
      <c r="B79" s="87" t="s">
        <v>408</v>
      </c>
      <c r="C79" s="351">
        <v>100000</v>
      </c>
      <c r="D79" s="106">
        <f t="shared" si="10"/>
        <v>44000</v>
      </c>
      <c r="E79" s="197">
        <f t="shared" si="11"/>
        <v>144</v>
      </c>
      <c r="F79" s="107">
        <f>'Kiadások részletes COFOG'!F148</f>
        <v>144000</v>
      </c>
    </row>
    <row r="80" spans="1:6" ht="15" customHeight="1" x14ac:dyDescent="0.2">
      <c r="A80" s="86" t="s">
        <v>199</v>
      </c>
      <c r="B80" s="87" t="s">
        <v>405</v>
      </c>
      <c r="C80" s="351">
        <v>150000</v>
      </c>
      <c r="D80" s="106">
        <f t="shared" si="10"/>
        <v>-100000</v>
      </c>
      <c r="E80" s="197">
        <f t="shared" si="11"/>
        <v>33.333333333333329</v>
      </c>
      <c r="F80" s="107">
        <f>'Kiadások részletes COFOG'!F150</f>
        <v>50000</v>
      </c>
    </row>
    <row r="81" spans="1:10" ht="15" customHeight="1" x14ac:dyDescent="0.2">
      <c r="A81" s="102" t="s">
        <v>205</v>
      </c>
      <c r="B81" s="92" t="s">
        <v>409</v>
      </c>
      <c r="C81" s="418">
        <v>150000</v>
      </c>
      <c r="D81" s="106">
        <f t="shared" si="10"/>
        <v>0</v>
      </c>
      <c r="E81" s="197">
        <f t="shared" si="11"/>
        <v>100</v>
      </c>
      <c r="F81" s="96">
        <f>'Kiadások részletes COFOG'!F151</f>
        <v>150000</v>
      </c>
    </row>
    <row r="82" spans="1:10" ht="20.25" customHeight="1" x14ac:dyDescent="0.2">
      <c r="A82" s="102" t="s">
        <v>213</v>
      </c>
      <c r="B82" s="92" t="s">
        <v>271</v>
      </c>
      <c r="C82" s="418">
        <v>524000</v>
      </c>
      <c r="D82" s="106">
        <f t="shared" si="10"/>
        <v>-423560</v>
      </c>
      <c r="E82" s="197">
        <f t="shared" si="11"/>
        <v>19.167938931297709</v>
      </c>
      <c r="F82" s="96">
        <f>'Kiadások részletes COFOG'!F152</f>
        <v>100440</v>
      </c>
      <c r="I82" s="840"/>
      <c r="J82" s="840"/>
    </row>
    <row r="83" spans="1:10" ht="20.25" customHeight="1" x14ac:dyDescent="0.2">
      <c r="A83" s="114" t="s">
        <v>243</v>
      </c>
      <c r="B83" s="87" t="s">
        <v>537</v>
      </c>
      <c r="C83" s="351">
        <v>0</v>
      </c>
      <c r="D83" s="106">
        <f t="shared" si="10"/>
        <v>0</v>
      </c>
      <c r="E83" s="197">
        <v>0</v>
      </c>
      <c r="F83" s="107">
        <f>'Kiadások részletes COFOG'!F153</f>
        <v>0</v>
      </c>
      <c r="G83" s="231"/>
      <c r="I83" s="160"/>
      <c r="J83" s="160"/>
    </row>
    <row r="84" spans="1:10" ht="20.25" customHeight="1" x14ac:dyDescent="0.2">
      <c r="A84" s="91" t="s">
        <v>251</v>
      </c>
      <c r="B84" s="92" t="s">
        <v>539</v>
      </c>
      <c r="C84" s="418">
        <v>365000</v>
      </c>
      <c r="D84" s="106">
        <f t="shared" si="10"/>
        <v>-365000</v>
      </c>
      <c r="E84" s="197">
        <v>0</v>
      </c>
      <c r="F84" s="96">
        <f>'Kiadások részletes COFOG'!F154</f>
        <v>0</v>
      </c>
      <c r="G84" s="231"/>
      <c r="I84" s="160"/>
      <c r="J84" s="160"/>
    </row>
    <row r="85" spans="1:10" ht="20.25" customHeight="1" thickBot="1" x14ac:dyDescent="0.25">
      <c r="A85" s="91" t="s">
        <v>255</v>
      </c>
      <c r="B85" s="92" t="s">
        <v>277</v>
      </c>
      <c r="C85" s="418">
        <v>135000</v>
      </c>
      <c r="D85" s="106">
        <f t="shared" si="10"/>
        <v>-135000</v>
      </c>
      <c r="E85" s="197">
        <v>0</v>
      </c>
      <c r="F85" s="96">
        <f>'Kiadások részletes COFOG'!F155</f>
        <v>0</v>
      </c>
      <c r="I85" s="160"/>
      <c r="J85" s="160"/>
    </row>
    <row r="86" spans="1:10" ht="19.5" customHeight="1" thickBot="1" x14ac:dyDescent="0.25">
      <c r="A86" s="821" t="s">
        <v>279</v>
      </c>
      <c r="B86" s="821"/>
      <c r="C86" s="93">
        <f>SUM(C75,C77:C85)</f>
        <v>2964000</v>
      </c>
      <c r="D86" s="93">
        <f>SUM(D75,D77:D85)</f>
        <v>-1029560</v>
      </c>
      <c r="E86" s="311">
        <f>F86/C86*100</f>
        <v>65.264507422402161</v>
      </c>
      <c r="F86" s="94">
        <f>SUM(F76+F80+F81+F82+F75+F84+F85)</f>
        <v>1934440</v>
      </c>
    </row>
    <row r="87" spans="1:10" ht="24" customHeight="1" thickBot="1" x14ac:dyDescent="0.25">
      <c r="A87" s="805" t="s">
        <v>283</v>
      </c>
      <c r="B87" s="805"/>
      <c r="C87" s="805"/>
      <c r="D87" s="805"/>
      <c r="E87" s="805"/>
      <c r="F87" s="805"/>
    </row>
    <row r="88" spans="1:10" ht="22.5" customHeight="1" thickBot="1" x14ac:dyDescent="0.25">
      <c r="A88" s="823" t="s">
        <v>46</v>
      </c>
      <c r="B88" s="824" t="s">
        <v>47</v>
      </c>
      <c r="C88" s="825">
        <v>2022</v>
      </c>
      <c r="D88" s="826"/>
      <c r="E88" s="826"/>
      <c r="F88" s="457">
        <v>2023</v>
      </c>
    </row>
    <row r="89" spans="1:10" ht="22.5" customHeight="1" thickBot="1" x14ac:dyDescent="0.25">
      <c r="A89" s="823"/>
      <c r="B89" s="824"/>
      <c r="C89" s="149" t="s">
        <v>48</v>
      </c>
      <c r="D89" s="149" t="s">
        <v>509</v>
      </c>
      <c r="E89" s="149" t="s">
        <v>384</v>
      </c>
      <c r="F89" s="456" t="s">
        <v>510</v>
      </c>
    </row>
    <row r="90" spans="1:10" ht="15.95" customHeight="1" x14ac:dyDescent="0.2">
      <c r="A90" s="86" t="s">
        <v>156</v>
      </c>
      <c r="B90" s="87" t="s">
        <v>157</v>
      </c>
      <c r="C90" s="351">
        <v>300000</v>
      </c>
      <c r="D90" s="106">
        <f t="shared" ref="D90:D96" si="12">F90-C90</f>
        <v>0</v>
      </c>
      <c r="E90" s="197">
        <f>F90/C90*100</f>
        <v>100</v>
      </c>
      <c r="F90" s="107">
        <f>'Kiadások részletes COFOG'!F160</f>
        <v>300000</v>
      </c>
    </row>
    <row r="91" spans="1:10" ht="15.95" customHeight="1" x14ac:dyDescent="0.2">
      <c r="A91" s="114" t="s">
        <v>314</v>
      </c>
      <c r="B91" s="87" t="s">
        <v>633</v>
      </c>
      <c r="C91" s="351">
        <v>100000</v>
      </c>
      <c r="D91" s="106">
        <f t="shared" si="12"/>
        <v>20000</v>
      </c>
      <c r="E91" s="197">
        <v>0</v>
      </c>
      <c r="F91" s="107">
        <f>SUM('Kiadások részletes COFOG'!F161)</f>
        <v>120000</v>
      </c>
    </row>
    <row r="92" spans="1:10" ht="15.95" customHeight="1" x14ac:dyDescent="0.2">
      <c r="A92" s="86" t="s">
        <v>170</v>
      </c>
      <c r="B92" s="87" t="s">
        <v>171</v>
      </c>
      <c r="C92" s="351">
        <v>700000</v>
      </c>
      <c r="D92" s="106">
        <f t="shared" si="12"/>
        <v>800000</v>
      </c>
      <c r="E92" s="197">
        <f>F92/C92*100</f>
        <v>214.28571428571428</v>
      </c>
      <c r="F92" s="107">
        <f>'Kiadások részletes COFOG'!F164</f>
        <v>1500000</v>
      </c>
    </row>
    <row r="93" spans="1:10" ht="15.95" customHeight="1" x14ac:dyDescent="0.2">
      <c r="A93" s="114" t="s">
        <v>195</v>
      </c>
      <c r="B93" s="87" t="s">
        <v>196</v>
      </c>
      <c r="C93" s="351">
        <v>0</v>
      </c>
      <c r="D93" s="106">
        <f t="shared" si="12"/>
        <v>0</v>
      </c>
      <c r="E93" s="197">
        <v>0</v>
      </c>
      <c r="F93" s="107">
        <v>0</v>
      </c>
    </row>
    <row r="94" spans="1:10" ht="15.95" customHeight="1" x14ac:dyDescent="0.2">
      <c r="A94" s="114" t="s">
        <v>205</v>
      </c>
      <c r="B94" s="87" t="s">
        <v>206</v>
      </c>
      <c r="C94" s="351">
        <v>600000</v>
      </c>
      <c r="D94" s="106">
        <f t="shared" si="12"/>
        <v>1200000</v>
      </c>
      <c r="E94" s="197">
        <f>F94/C94*100</f>
        <v>300</v>
      </c>
      <c r="F94" s="107">
        <f>'Kiadások részletes COFOG'!F166</f>
        <v>1800000</v>
      </c>
    </row>
    <row r="95" spans="1:10" ht="15.95" customHeight="1" x14ac:dyDescent="0.2">
      <c r="A95" s="114" t="s">
        <v>292</v>
      </c>
      <c r="B95" s="87" t="s">
        <v>293</v>
      </c>
      <c r="C95" s="351">
        <v>100000</v>
      </c>
      <c r="D95" s="106">
        <f t="shared" si="12"/>
        <v>-100000</v>
      </c>
      <c r="E95" s="197">
        <f>F95/C95*100</f>
        <v>0</v>
      </c>
      <c r="F95" s="107">
        <f>'Kiadások részletes COFOG'!F167</f>
        <v>0</v>
      </c>
    </row>
    <row r="96" spans="1:10" ht="23.25" customHeight="1" thickBot="1" x14ac:dyDescent="0.25">
      <c r="A96" s="91" t="s">
        <v>213</v>
      </c>
      <c r="B96" s="92" t="s">
        <v>271</v>
      </c>
      <c r="C96" s="418">
        <v>433000</v>
      </c>
      <c r="D96" s="106">
        <f t="shared" si="12"/>
        <v>539000</v>
      </c>
      <c r="E96" s="197">
        <f>F96/C96*100</f>
        <v>224.48036951501155</v>
      </c>
      <c r="F96" s="96">
        <f>'Kiadások részletes COFOG'!F168</f>
        <v>972000</v>
      </c>
    </row>
    <row r="97" spans="1:15" ht="19.5" customHeight="1" thickBot="1" x14ac:dyDescent="0.25">
      <c r="A97" s="821" t="s">
        <v>279</v>
      </c>
      <c r="B97" s="821"/>
      <c r="C97" s="93">
        <f>SUM(C90:C96)</f>
        <v>2233000</v>
      </c>
      <c r="D97" s="93">
        <f>SUM(D90:D96)</f>
        <v>2459000</v>
      </c>
      <c r="E97" s="311">
        <f>F97/C97*100</f>
        <v>210.12091356918944</v>
      </c>
      <c r="F97" s="94">
        <f>SUM(F90:F96)</f>
        <v>4692000</v>
      </c>
    </row>
    <row r="98" spans="1:15" ht="25.5" customHeight="1" thickBot="1" x14ac:dyDescent="0.25">
      <c r="A98" s="830" t="s">
        <v>122</v>
      </c>
      <c r="B98" s="831"/>
      <c r="C98" s="831"/>
      <c r="D98" s="831"/>
      <c r="E98" s="831"/>
      <c r="F98" s="833"/>
    </row>
    <row r="99" spans="1:15" ht="22.5" customHeight="1" thickBot="1" x14ac:dyDescent="0.25">
      <c r="A99" s="823" t="s">
        <v>46</v>
      </c>
      <c r="B99" s="824" t="s">
        <v>47</v>
      </c>
      <c r="C99" s="825">
        <v>2022</v>
      </c>
      <c r="D99" s="826"/>
      <c r="E99" s="826"/>
      <c r="F99" s="457">
        <v>2023</v>
      </c>
    </row>
    <row r="100" spans="1:15" ht="24" customHeight="1" thickBot="1" x14ac:dyDescent="0.25">
      <c r="A100" s="823"/>
      <c r="B100" s="824"/>
      <c r="C100" s="149" t="s">
        <v>48</v>
      </c>
      <c r="D100" s="149" t="s">
        <v>509</v>
      </c>
      <c r="E100" s="149" t="s">
        <v>384</v>
      </c>
      <c r="F100" s="456" t="s">
        <v>510</v>
      </c>
    </row>
    <row r="101" spans="1:15" ht="24" customHeight="1" x14ac:dyDescent="0.2">
      <c r="A101" s="161" t="s">
        <v>232</v>
      </c>
      <c r="B101" s="162" t="s">
        <v>284</v>
      </c>
      <c r="C101" s="276">
        <v>0</v>
      </c>
      <c r="D101" s="163">
        <f>F101-C101</f>
        <v>0</v>
      </c>
      <c r="E101" s="312">
        <v>0</v>
      </c>
      <c r="F101" s="164">
        <f>'Kiadások részletes COFOG'!F173</f>
        <v>0</v>
      </c>
    </row>
    <row r="102" spans="1:15" ht="30" customHeight="1" thickBot="1" x14ac:dyDescent="0.25">
      <c r="A102" s="102" t="s">
        <v>41</v>
      </c>
      <c r="B102" s="92" t="s">
        <v>259</v>
      </c>
      <c r="C102" s="95">
        <v>7740155</v>
      </c>
      <c r="D102" s="163">
        <f>F102-C102</f>
        <v>2010731</v>
      </c>
      <c r="E102" s="312">
        <f>F102/C102*100</f>
        <v>125.97791646291321</v>
      </c>
      <c r="F102" s="165">
        <f>SUM('Kiadások részletes COFOG'!F174)</f>
        <v>9750886</v>
      </c>
    </row>
    <row r="103" spans="1:15" ht="22.5" customHeight="1" thickBot="1" x14ac:dyDescent="0.25">
      <c r="A103" s="821" t="s">
        <v>279</v>
      </c>
      <c r="B103" s="821"/>
      <c r="C103" s="93">
        <f>SUM(C101:C102)</f>
        <v>7740155</v>
      </c>
      <c r="D103" s="93">
        <f>SUM(D101:D102)</f>
        <v>2010731</v>
      </c>
      <c r="E103" s="311">
        <f>F103/C103*100</f>
        <v>125.97791646291321</v>
      </c>
      <c r="F103" s="94">
        <f>SUM(F101:F102)</f>
        <v>9750886</v>
      </c>
    </row>
    <row r="104" spans="1:15" ht="23.25" customHeight="1" thickBot="1" x14ac:dyDescent="0.25">
      <c r="A104" s="805" t="s">
        <v>133</v>
      </c>
      <c r="B104" s="805"/>
      <c r="C104" s="805"/>
      <c r="D104" s="805"/>
      <c r="E104" s="805"/>
      <c r="F104" s="805"/>
    </row>
    <row r="105" spans="1:15" ht="19.5" customHeight="1" x14ac:dyDescent="0.2">
      <c r="A105" s="834" t="s">
        <v>46</v>
      </c>
      <c r="B105" s="835" t="s">
        <v>47</v>
      </c>
      <c r="C105" s="825">
        <v>2022</v>
      </c>
      <c r="D105" s="826"/>
      <c r="E105" s="826"/>
      <c r="F105" s="457">
        <v>2023</v>
      </c>
    </row>
    <row r="106" spans="1:15" ht="22.5" customHeight="1" thickBot="1" x14ac:dyDescent="0.25">
      <c r="A106" s="837"/>
      <c r="B106" s="838"/>
      <c r="C106" s="149" t="s">
        <v>48</v>
      </c>
      <c r="D106" s="149" t="s">
        <v>509</v>
      </c>
      <c r="E106" s="149" t="s">
        <v>384</v>
      </c>
      <c r="F106" s="456" t="s">
        <v>510</v>
      </c>
    </row>
    <row r="107" spans="1:15" ht="22.5" customHeight="1" x14ac:dyDescent="0.2">
      <c r="A107" s="373" t="s">
        <v>231</v>
      </c>
      <c r="B107" s="447" t="s">
        <v>508</v>
      </c>
      <c r="C107" s="418">
        <v>11000000</v>
      </c>
      <c r="D107" s="95">
        <f>F107-C107</f>
        <v>3550000</v>
      </c>
      <c r="E107" s="449">
        <f>F107/C107*100</f>
        <v>132.27272727272728</v>
      </c>
      <c r="F107" s="343">
        <f>'Kiadások részletes COFOG'!F181+'Kiadások részletes COFOG'!F183</f>
        <v>14550000</v>
      </c>
    </row>
    <row r="108" spans="1:15" ht="23.25" customHeight="1" thickBot="1" x14ac:dyDescent="0.25">
      <c r="A108" s="102" t="s">
        <v>260</v>
      </c>
      <c r="B108" s="92" t="s">
        <v>261</v>
      </c>
      <c r="C108" s="418">
        <v>187585884</v>
      </c>
      <c r="D108" s="95">
        <f>F108-C108</f>
        <v>33723377</v>
      </c>
      <c r="E108" s="449">
        <f>F108/C108*100</f>
        <v>117.97756647829642</v>
      </c>
      <c r="F108" s="96">
        <f>SUM('Kiadások részletes COFOG'!F184)</f>
        <v>221309261</v>
      </c>
      <c r="G108" s="166"/>
      <c r="H108" s="158"/>
      <c r="I108" s="39"/>
      <c r="J108" s="39"/>
      <c r="K108" s="39"/>
      <c r="L108" s="39"/>
      <c r="M108" s="39"/>
      <c r="N108" s="39"/>
      <c r="O108" s="39"/>
    </row>
    <row r="109" spans="1:15" ht="21" customHeight="1" thickBot="1" x14ac:dyDescent="0.25">
      <c r="A109" s="839" t="s">
        <v>279</v>
      </c>
      <c r="B109" s="839"/>
      <c r="C109" s="432">
        <f>SUM(C107:C108)</f>
        <v>198585884</v>
      </c>
      <c r="D109" s="167">
        <f>SUM(D107:D108)</f>
        <v>37273377</v>
      </c>
      <c r="E109" s="450">
        <f>F109/C109*100</f>
        <v>118.76939903744619</v>
      </c>
      <c r="F109" s="168">
        <f>SUM(F107:F108)</f>
        <v>235859261</v>
      </c>
      <c r="G109" s="156"/>
    </row>
    <row r="110" spans="1:15" ht="25.5" customHeight="1" thickBot="1" x14ac:dyDescent="0.25">
      <c r="A110" s="805" t="s">
        <v>414</v>
      </c>
      <c r="B110" s="805"/>
      <c r="C110" s="805"/>
      <c r="D110" s="805"/>
      <c r="E110" s="805"/>
      <c r="F110" s="805"/>
    </row>
    <row r="111" spans="1:15" ht="21.75" customHeight="1" x14ac:dyDescent="0.2">
      <c r="A111" s="823" t="s">
        <v>46</v>
      </c>
      <c r="B111" s="824" t="s">
        <v>47</v>
      </c>
      <c r="C111" s="825">
        <v>2022</v>
      </c>
      <c r="D111" s="826"/>
      <c r="E111" s="826"/>
      <c r="F111" s="457">
        <v>2023</v>
      </c>
    </row>
    <row r="112" spans="1:15" ht="23.25" customHeight="1" thickBot="1" x14ac:dyDescent="0.25">
      <c r="A112" s="837"/>
      <c r="B112" s="838"/>
      <c r="C112" s="149" t="s">
        <v>48</v>
      </c>
      <c r="D112" s="149" t="s">
        <v>509</v>
      </c>
      <c r="E112" s="149" t="s">
        <v>384</v>
      </c>
      <c r="F112" s="456" t="s">
        <v>510</v>
      </c>
    </row>
    <row r="113" spans="1:6" ht="15" customHeight="1" x14ac:dyDescent="0.2">
      <c r="A113" s="150" t="s">
        <v>144</v>
      </c>
      <c r="B113" s="151" t="s">
        <v>415</v>
      </c>
      <c r="C113" s="152">
        <v>4740000</v>
      </c>
      <c r="D113" s="152">
        <f t="shared" ref="D113:D118" si="13">F113-C113</f>
        <v>-835650</v>
      </c>
      <c r="E113" s="310">
        <f t="shared" ref="E113:E119" si="14">F113/C113*100</f>
        <v>82.370253164556956</v>
      </c>
      <c r="F113" s="770">
        <f>'Kiadások részletes COFOG'!F196</f>
        <v>3904350</v>
      </c>
    </row>
    <row r="114" spans="1:6" ht="15" customHeight="1" x14ac:dyDescent="0.2">
      <c r="A114" s="114" t="s">
        <v>158</v>
      </c>
      <c r="B114" s="87" t="s">
        <v>159</v>
      </c>
      <c r="C114" s="106">
        <v>312000</v>
      </c>
      <c r="D114" s="106">
        <f t="shared" si="13"/>
        <v>-42000</v>
      </c>
      <c r="E114" s="197">
        <f t="shared" si="14"/>
        <v>86.538461538461547</v>
      </c>
      <c r="F114" s="169">
        <f>'Kiadások részletes COFOG'!F200</f>
        <v>270000</v>
      </c>
    </row>
    <row r="115" spans="1:6" ht="15" customHeight="1" x14ac:dyDescent="0.2">
      <c r="A115" s="114" t="s">
        <v>170</v>
      </c>
      <c r="B115" s="87" t="s">
        <v>171</v>
      </c>
      <c r="C115" s="106">
        <v>0</v>
      </c>
      <c r="D115" s="106">
        <f t="shared" si="13"/>
        <v>0</v>
      </c>
      <c r="E115" s="197">
        <v>0</v>
      </c>
      <c r="F115" s="169">
        <f>'Kiadások részletes COFOG'!F202</f>
        <v>0</v>
      </c>
    </row>
    <row r="116" spans="1:6" ht="21.75" customHeight="1" x14ac:dyDescent="0.2">
      <c r="A116" s="114" t="s">
        <v>213</v>
      </c>
      <c r="B116" s="87" t="s">
        <v>271</v>
      </c>
      <c r="C116" s="106">
        <v>0</v>
      </c>
      <c r="D116" s="106">
        <f t="shared" si="13"/>
        <v>0</v>
      </c>
      <c r="E116" s="197">
        <v>0</v>
      </c>
      <c r="F116" s="169">
        <f>'Kiadások részletes COFOG'!F203</f>
        <v>0</v>
      </c>
    </row>
    <row r="117" spans="1:6" ht="21.75" customHeight="1" x14ac:dyDescent="0.2">
      <c r="A117" s="114" t="s">
        <v>247</v>
      </c>
      <c r="B117" s="87" t="s">
        <v>248</v>
      </c>
      <c r="C117" s="106">
        <v>0</v>
      </c>
      <c r="D117" s="106">
        <f t="shared" si="13"/>
        <v>0</v>
      </c>
      <c r="E117" s="197">
        <v>0</v>
      </c>
      <c r="F117" s="169">
        <f>'Kiadások részletes COFOG'!F204</f>
        <v>0</v>
      </c>
    </row>
    <row r="118" spans="1:6" ht="22.5" customHeight="1" thickBot="1" x14ac:dyDescent="0.25">
      <c r="A118" s="91" t="s">
        <v>249</v>
      </c>
      <c r="B118" s="92" t="s">
        <v>276</v>
      </c>
      <c r="C118" s="106">
        <v>0</v>
      </c>
      <c r="D118" s="106">
        <f t="shared" si="13"/>
        <v>0</v>
      </c>
      <c r="E118" s="197">
        <v>0</v>
      </c>
      <c r="F118" s="170">
        <f>'Kiadások részletes COFOG'!F205</f>
        <v>0</v>
      </c>
    </row>
    <row r="119" spans="1:6" ht="20.25" customHeight="1" thickBot="1" x14ac:dyDescent="0.25">
      <c r="A119" s="832" t="s">
        <v>279</v>
      </c>
      <c r="B119" s="832"/>
      <c r="C119" s="332">
        <f>SUM(C113:C118)</f>
        <v>5052000</v>
      </c>
      <c r="D119" s="332">
        <f>SUM(D113:D118)</f>
        <v>-877650</v>
      </c>
      <c r="E119" s="333">
        <f t="shared" si="14"/>
        <v>82.62767220902613</v>
      </c>
      <c r="F119" s="334">
        <f>SUM(F113:F118)</f>
        <v>4174350</v>
      </c>
    </row>
    <row r="120" spans="1:6" ht="20.25" hidden="1" customHeight="1" thickBot="1" x14ac:dyDescent="0.25">
      <c r="A120" s="805" t="s">
        <v>416</v>
      </c>
      <c r="B120" s="805"/>
      <c r="C120" s="805"/>
      <c r="D120" s="805"/>
      <c r="E120" s="805"/>
      <c r="F120" s="805"/>
    </row>
    <row r="121" spans="1:6" ht="20.25" hidden="1" customHeight="1" x14ac:dyDescent="0.2">
      <c r="A121" s="834" t="s">
        <v>46</v>
      </c>
      <c r="B121" s="835" t="s">
        <v>47</v>
      </c>
      <c r="C121" s="825">
        <v>2021</v>
      </c>
      <c r="D121" s="826"/>
      <c r="E121" s="826"/>
      <c r="F121" s="457">
        <v>2022</v>
      </c>
    </row>
    <row r="122" spans="1:6" ht="20.25" hidden="1" customHeight="1" thickBot="1" x14ac:dyDescent="0.25">
      <c r="A122" s="834"/>
      <c r="B122" s="835"/>
      <c r="C122" s="149" t="s">
        <v>48</v>
      </c>
      <c r="D122" s="149" t="s">
        <v>509</v>
      </c>
      <c r="E122" s="149" t="s">
        <v>384</v>
      </c>
      <c r="F122" s="456" t="s">
        <v>510</v>
      </c>
    </row>
    <row r="123" spans="1:6" ht="20.25" hidden="1" customHeight="1" x14ac:dyDescent="0.2">
      <c r="A123" s="86" t="s">
        <v>144</v>
      </c>
      <c r="B123" s="87" t="s">
        <v>415</v>
      </c>
      <c r="C123" s="106"/>
      <c r="D123" s="106"/>
      <c r="E123" s="197"/>
      <c r="F123" s="169"/>
    </row>
    <row r="124" spans="1:6" ht="20.25" hidden="1" customHeight="1" x14ac:dyDescent="0.2">
      <c r="A124" s="114" t="s">
        <v>150</v>
      </c>
      <c r="B124" s="87" t="s">
        <v>151</v>
      </c>
      <c r="C124" s="106"/>
      <c r="D124" s="106"/>
      <c r="E124" s="197"/>
      <c r="F124" s="169"/>
    </row>
    <row r="125" spans="1:6" ht="20.25" hidden="1" customHeight="1" x14ac:dyDescent="0.2">
      <c r="A125" s="114" t="s">
        <v>158</v>
      </c>
      <c r="B125" s="87" t="s">
        <v>159</v>
      </c>
      <c r="C125" s="106"/>
      <c r="D125" s="106"/>
      <c r="E125" s="197"/>
      <c r="F125" s="169"/>
    </row>
    <row r="126" spans="1:6" ht="20.25" hidden="1" customHeight="1" x14ac:dyDescent="0.2">
      <c r="A126" s="114" t="s">
        <v>170</v>
      </c>
      <c r="B126" s="87" t="s">
        <v>171</v>
      </c>
      <c r="C126" s="106"/>
      <c r="D126" s="106"/>
      <c r="E126" s="197"/>
      <c r="F126" s="169"/>
    </row>
    <row r="127" spans="1:6" ht="20.25" hidden="1" customHeight="1" thickBot="1" x14ac:dyDescent="0.25">
      <c r="A127" s="114" t="s">
        <v>213</v>
      </c>
      <c r="B127" s="87" t="s">
        <v>271</v>
      </c>
      <c r="C127" s="106"/>
      <c r="D127" s="106"/>
      <c r="E127" s="197"/>
      <c r="F127" s="169"/>
    </row>
    <row r="128" spans="1:6" ht="20.25" hidden="1" customHeight="1" thickBot="1" x14ac:dyDescent="0.25">
      <c r="A128" s="832" t="s">
        <v>279</v>
      </c>
      <c r="B128" s="832"/>
      <c r="C128" s="332"/>
      <c r="D128" s="332"/>
      <c r="E128" s="333"/>
      <c r="F128" s="334"/>
    </row>
    <row r="129" spans="1:15" ht="24" customHeight="1" thickBot="1" x14ac:dyDescent="0.25">
      <c r="A129" s="805" t="s">
        <v>285</v>
      </c>
      <c r="B129" s="805"/>
      <c r="C129" s="805"/>
      <c r="D129" s="805"/>
      <c r="E129" s="805"/>
      <c r="F129" s="805"/>
    </row>
    <row r="130" spans="1:15" ht="23.25" customHeight="1" x14ac:dyDescent="0.2">
      <c r="A130" s="834" t="s">
        <v>46</v>
      </c>
      <c r="B130" s="835" t="s">
        <v>47</v>
      </c>
      <c r="C130" s="825">
        <v>2022</v>
      </c>
      <c r="D130" s="826"/>
      <c r="E130" s="826"/>
      <c r="F130" s="457">
        <v>2023</v>
      </c>
    </row>
    <row r="131" spans="1:15" ht="25.5" customHeight="1" thickBot="1" x14ac:dyDescent="0.25">
      <c r="A131" s="834"/>
      <c r="B131" s="835"/>
      <c r="C131" s="149" t="s">
        <v>48</v>
      </c>
      <c r="D131" s="149" t="s">
        <v>509</v>
      </c>
      <c r="E131" s="149" t="s">
        <v>384</v>
      </c>
      <c r="F131" s="456" t="s">
        <v>510</v>
      </c>
    </row>
    <row r="132" spans="1:15" ht="15" customHeight="1" x14ac:dyDescent="0.2">
      <c r="A132" s="86" t="s">
        <v>170</v>
      </c>
      <c r="B132" s="87" t="s">
        <v>171</v>
      </c>
      <c r="C132" s="106">
        <v>700000</v>
      </c>
      <c r="D132" s="106">
        <f t="shared" ref="D132:D138" si="15">F132-C132</f>
        <v>0</v>
      </c>
      <c r="E132" s="197">
        <f>F132/C132*100</f>
        <v>100</v>
      </c>
      <c r="F132" s="107">
        <f>'Kiadások részletes COFOG'!F220</f>
        <v>700000</v>
      </c>
    </row>
    <row r="133" spans="1:15" ht="15" customHeight="1" x14ac:dyDescent="0.2">
      <c r="A133" s="86" t="s">
        <v>199</v>
      </c>
      <c r="B133" s="87" t="s">
        <v>200</v>
      </c>
      <c r="C133" s="106">
        <v>1830000</v>
      </c>
      <c r="D133" s="106">
        <f t="shared" si="15"/>
        <v>0</v>
      </c>
      <c r="E133" s="197">
        <f>F133/C133*100</f>
        <v>100</v>
      </c>
      <c r="F133" s="107">
        <f>'Kiadások részletes COFOG'!F224</f>
        <v>1830000</v>
      </c>
    </row>
    <row r="134" spans="1:15" ht="15" customHeight="1" x14ac:dyDescent="0.2">
      <c r="A134" s="86" t="s">
        <v>205</v>
      </c>
      <c r="B134" s="87" t="s">
        <v>206</v>
      </c>
      <c r="C134" s="106">
        <v>1900000</v>
      </c>
      <c r="D134" s="106">
        <f t="shared" si="15"/>
        <v>1100000</v>
      </c>
      <c r="E134" s="197">
        <f>F134/C134*100</f>
        <v>157.89473684210526</v>
      </c>
      <c r="F134" s="107">
        <f>'Kiadások részletes COFOG'!F225</f>
        <v>3000000</v>
      </c>
    </row>
    <row r="135" spans="1:15" ht="15" customHeight="1" x14ac:dyDescent="0.2">
      <c r="A135" s="86" t="s">
        <v>209</v>
      </c>
      <c r="B135" s="87" t="s">
        <v>210</v>
      </c>
      <c r="C135" s="106">
        <v>0</v>
      </c>
      <c r="D135" s="106">
        <f t="shared" si="15"/>
        <v>0</v>
      </c>
      <c r="E135" s="197">
        <v>0</v>
      </c>
      <c r="F135" s="107">
        <v>0</v>
      </c>
    </row>
    <row r="136" spans="1:15" ht="21" x14ac:dyDescent="0.2">
      <c r="A136" s="86" t="s">
        <v>213</v>
      </c>
      <c r="B136" s="87" t="s">
        <v>271</v>
      </c>
      <c r="C136" s="106">
        <v>1200000</v>
      </c>
      <c r="D136" s="106">
        <f t="shared" si="15"/>
        <v>300000</v>
      </c>
      <c r="E136" s="197">
        <f>F136/C136*100</f>
        <v>125</v>
      </c>
      <c r="F136" s="107">
        <f>'Kiadások részletes COFOG'!F228</f>
        <v>1500000</v>
      </c>
    </row>
    <row r="137" spans="1:15" ht="15" customHeight="1" x14ac:dyDescent="0.2">
      <c r="A137" s="86" t="s">
        <v>251</v>
      </c>
      <c r="B137" s="87" t="s">
        <v>252</v>
      </c>
      <c r="C137" s="106">
        <v>2800000</v>
      </c>
      <c r="D137" s="106">
        <f t="shared" si="15"/>
        <v>-2800000</v>
      </c>
      <c r="E137" s="197">
        <v>0</v>
      </c>
      <c r="F137" s="107">
        <f>'Kiadások részletes COFOG'!F232</f>
        <v>0</v>
      </c>
      <c r="I137" s="836"/>
      <c r="J137" s="836"/>
      <c r="L137" s="155"/>
    </row>
    <row r="138" spans="1:15" ht="21.75" thickBot="1" x14ac:dyDescent="0.25">
      <c r="A138" s="102" t="s">
        <v>255</v>
      </c>
      <c r="B138" s="92" t="s">
        <v>277</v>
      </c>
      <c r="C138" s="95">
        <v>700000</v>
      </c>
      <c r="D138" s="106">
        <f t="shared" si="15"/>
        <v>-700000</v>
      </c>
      <c r="E138" s="197">
        <v>0</v>
      </c>
      <c r="F138" s="96">
        <f>'Kiadások részletes COFOG'!F233</f>
        <v>0</v>
      </c>
    </row>
    <row r="139" spans="1:15" ht="21" customHeight="1" thickBot="1" x14ac:dyDescent="0.25">
      <c r="A139" s="821" t="s">
        <v>279</v>
      </c>
      <c r="B139" s="821"/>
      <c r="C139" s="93">
        <f>SUM(C132:C138)</f>
        <v>9130000</v>
      </c>
      <c r="D139" s="93">
        <f>SUM(D132:D138)</f>
        <v>-2100000</v>
      </c>
      <c r="E139" s="311">
        <f>F139/C139*100</f>
        <v>76.998904709748089</v>
      </c>
      <c r="F139" s="94">
        <f>SUM(F132:F138)</f>
        <v>7030000</v>
      </c>
      <c r="M139" s="39"/>
      <c r="N139" s="39"/>
    </row>
    <row r="140" spans="1:15" ht="30" customHeight="1" thickBot="1" x14ac:dyDescent="0.25">
      <c r="A140" s="805" t="s">
        <v>134</v>
      </c>
      <c r="B140" s="805"/>
      <c r="C140" s="805"/>
      <c r="D140" s="805"/>
      <c r="E140" s="805"/>
      <c r="F140" s="805"/>
    </row>
    <row r="141" spans="1:15" ht="18" customHeight="1" x14ac:dyDescent="0.2">
      <c r="A141" s="834" t="s">
        <v>46</v>
      </c>
      <c r="B141" s="835" t="s">
        <v>47</v>
      </c>
      <c r="C141" s="825">
        <v>2022</v>
      </c>
      <c r="D141" s="826"/>
      <c r="E141" s="826"/>
      <c r="F141" s="457">
        <v>2023</v>
      </c>
      <c r="L141" s="39"/>
      <c r="M141" s="39"/>
      <c r="N141" s="39"/>
      <c r="O141" s="39"/>
    </row>
    <row r="142" spans="1:15" ht="24.75" customHeight="1" thickBot="1" x14ac:dyDescent="0.25">
      <c r="A142" s="834"/>
      <c r="B142" s="835"/>
      <c r="C142" s="149" t="s">
        <v>48</v>
      </c>
      <c r="D142" s="149" t="s">
        <v>509</v>
      </c>
      <c r="E142" s="149" t="s">
        <v>384</v>
      </c>
      <c r="F142" s="456" t="s">
        <v>510</v>
      </c>
    </row>
    <row r="143" spans="1:15" ht="12.75" customHeight="1" x14ac:dyDescent="0.2">
      <c r="A143" s="86" t="s">
        <v>193</v>
      </c>
      <c r="B143" s="87" t="s">
        <v>280</v>
      </c>
      <c r="C143" s="351">
        <v>0</v>
      </c>
      <c r="D143" s="106">
        <f>F143-C143</f>
        <v>0</v>
      </c>
      <c r="E143" s="197"/>
      <c r="F143" s="171">
        <v>0</v>
      </c>
    </row>
    <row r="144" spans="1:15" ht="12.75" customHeight="1" x14ac:dyDescent="0.2">
      <c r="A144" s="86" t="s">
        <v>199</v>
      </c>
      <c r="B144" s="87" t="s">
        <v>200</v>
      </c>
      <c r="C144" s="351">
        <v>0</v>
      </c>
      <c r="D144" s="106">
        <f>F144-C144</f>
        <v>0</v>
      </c>
      <c r="E144" s="197"/>
      <c r="F144" s="171">
        <v>0</v>
      </c>
    </row>
    <row r="145" spans="1:11" ht="12.75" customHeight="1" x14ac:dyDescent="0.2">
      <c r="A145" s="86" t="s">
        <v>253</v>
      </c>
      <c r="B145" s="87" t="s">
        <v>254</v>
      </c>
      <c r="C145" s="351">
        <v>6615629</v>
      </c>
      <c r="D145" s="106">
        <f>F145-C145</f>
        <v>384371</v>
      </c>
      <c r="E145" s="197">
        <f>F145/C145*100</f>
        <v>105.81004466846615</v>
      </c>
      <c r="F145" s="169">
        <f>'Kiadások részletes COFOG'!F240</f>
        <v>7000000</v>
      </c>
    </row>
    <row r="146" spans="1:11" ht="21.75" customHeight="1" thickBot="1" x14ac:dyDescent="0.25">
      <c r="A146" s="102" t="s">
        <v>255</v>
      </c>
      <c r="B146" s="92" t="s">
        <v>277</v>
      </c>
      <c r="C146" s="418">
        <v>1786220</v>
      </c>
      <c r="D146" s="106">
        <f>F146-C146</f>
        <v>103780</v>
      </c>
      <c r="E146" s="197">
        <f>F146/C146*100</f>
        <v>105.8100345982018</v>
      </c>
      <c r="F146" s="170">
        <f>'Kiadások részletes COFOG'!F241</f>
        <v>1890000</v>
      </c>
    </row>
    <row r="147" spans="1:11" ht="21" customHeight="1" thickBot="1" x14ac:dyDescent="0.25">
      <c r="A147" s="821" t="s">
        <v>279</v>
      </c>
      <c r="B147" s="821"/>
      <c r="C147" s="424">
        <f>SUM(C143:C146)</f>
        <v>8401849</v>
      </c>
      <c r="D147" s="93">
        <f>SUM(D143:D146)</f>
        <v>488151</v>
      </c>
      <c r="E147" s="311">
        <f>F147/C147*100</f>
        <v>105.81004252754364</v>
      </c>
      <c r="F147" s="172">
        <f>SUM(F143:F146)</f>
        <v>8890000</v>
      </c>
    </row>
    <row r="148" spans="1:11" ht="21" customHeight="1" thickBot="1" x14ac:dyDescent="0.25">
      <c r="A148" s="805" t="s">
        <v>501</v>
      </c>
      <c r="B148" s="805"/>
      <c r="C148" s="805"/>
      <c r="D148" s="805"/>
      <c r="E148" s="805"/>
      <c r="F148" s="805"/>
    </row>
    <row r="149" spans="1:11" ht="21" customHeight="1" x14ac:dyDescent="0.2">
      <c r="A149" s="834" t="s">
        <v>46</v>
      </c>
      <c r="B149" s="835" t="s">
        <v>47</v>
      </c>
      <c r="C149" s="825">
        <v>2022</v>
      </c>
      <c r="D149" s="826"/>
      <c r="E149" s="826"/>
      <c r="F149" s="457">
        <v>2023</v>
      </c>
    </row>
    <row r="150" spans="1:11" ht="21" customHeight="1" thickBot="1" x14ac:dyDescent="0.25">
      <c r="A150" s="834"/>
      <c r="B150" s="835"/>
      <c r="C150" s="149" t="s">
        <v>48</v>
      </c>
      <c r="D150" s="149" t="s">
        <v>509</v>
      </c>
      <c r="E150" s="149" t="s">
        <v>384</v>
      </c>
      <c r="F150" s="456" t="s">
        <v>510</v>
      </c>
    </row>
    <row r="151" spans="1:11" ht="21" customHeight="1" x14ac:dyDescent="0.2">
      <c r="A151" s="114" t="s">
        <v>251</v>
      </c>
      <c r="B151" s="87" t="s">
        <v>252</v>
      </c>
      <c r="C151" s="351">
        <v>0</v>
      </c>
      <c r="D151" s="106">
        <f>F151-C151</f>
        <v>0</v>
      </c>
      <c r="E151" s="197"/>
      <c r="F151" s="169">
        <f>'Kiadások részletes COFOG'!F246</f>
        <v>0</v>
      </c>
    </row>
    <row r="152" spans="1:11" ht="21" customHeight="1" thickBot="1" x14ac:dyDescent="0.25">
      <c r="A152" s="91" t="s">
        <v>255</v>
      </c>
      <c r="B152" s="92" t="s">
        <v>277</v>
      </c>
      <c r="C152" s="418">
        <v>0</v>
      </c>
      <c r="D152" s="106">
        <f>F152-C152</f>
        <v>0</v>
      </c>
      <c r="E152" s="197"/>
      <c r="F152" s="170">
        <f>'Kiadások részletes COFOG'!F250</f>
        <v>0</v>
      </c>
    </row>
    <row r="153" spans="1:11" ht="21" customHeight="1" thickBot="1" x14ac:dyDescent="0.25">
      <c r="A153" s="821" t="s">
        <v>279</v>
      </c>
      <c r="B153" s="821"/>
      <c r="C153" s="424">
        <f>SUM(C151:C152)</f>
        <v>0</v>
      </c>
      <c r="D153" s="93">
        <f>SUM(D151:D152)</f>
        <v>0</v>
      </c>
      <c r="E153" s="311"/>
      <c r="F153" s="172">
        <f>SUM(F151:F152)</f>
        <v>0</v>
      </c>
    </row>
    <row r="154" spans="1:11" ht="27" customHeight="1" thickBot="1" x14ac:dyDescent="0.25">
      <c r="A154" s="805" t="s">
        <v>286</v>
      </c>
      <c r="B154" s="805"/>
      <c r="C154" s="805"/>
      <c r="D154" s="805"/>
      <c r="E154" s="805"/>
      <c r="F154" s="805"/>
    </row>
    <row r="155" spans="1:11" ht="21" customHeight="1" thickBot="1" x14ac:dyDescent="0.25">
      <c r="A155" s="823" t="s">
        <v>46</v>
      </c>
      <c r="B155" s="824" t="s">
        <v>47</v>
      </c>
      <c r="C155" s="825">
        <v>2022</v>
      </c>
      <c r="D155" s="826"/>
      <c r="E155" s="826"/>
      <c r="F155" s="457">
        <v>2023</v>
      </c>
    </row>
    <row r="156" spans="1:11" ht="24.75" customHeight="1" thickBot="1" x14ac:dyDescent="0.25">
      <c r="A156" s="828"/>
      <c r="B156" s="829"/>
      <c r="C156" s="149" t="s">
        <v>48</v>
      </c>
      <c r="D156" s="149" t="s">
        <v>509</v>
      </c>
      <c r="E156" s="149" t="s">
        <v>384</v>
      </c>
      <c r="F156" s="456" t="s">
        <v>510</v>
      </c>
    </row>
    <row r="157" spans="1:11" ht="18" customHeight="1" x14ac:dyDescent="0.2">
      <c r="A157" s="114" t="s">
        <v>170</v>
      </c>
      <c r="B157" s="87" t="s">
        <v>171</v>
      </c>
      <c r="C157" s="337">
        <v>350000</v>
      </c>
      <c r="D157" s="106">
        <f>F157-C157</f>
        <v>250000</v>
      </c>
      <c r="E157" s="341">
        <f>F157/C157*100</f>
        <v>171.42857142857142</v>
      </c>
      <c r="F157" s="343">
        <f>'Kiadások részletes COFOG'!F255</f>
        <v>600000</v>
      </c>
    </row>
    <row r="158" spans="1:11" ht="18.75" customHeight="1" x14ac:dyDescent="0.2">
      <c r="A158" s="86" t="s">
        <v>189</v>
      </c>
      <c r="B158" s="87" t="s">
        <v>268</v>
      </c>
      <c r="C158" s="106">
        <v>4320000</v>
      </c>
      <c r="D158" s="106">
        <f>F158-C158</f>
        <v>720000</v>
      </c>
      <c r="E158" s="341">
        <f>F158/C158*100</f>
        <v>116.66666666666667</v>
      </c>
      <c r="F158" s="107">
        <f>'Kiadások részletes COFOG'!F256</f>
        <v>5040000</v>
      </c>
      <c r="K158" s="77"/>
    </row>
    <row r="159" spans="1:11" ht="18.75" customHeight="1" x14ac:dyDescent="0.2">
      <c r="A159" s="91" t="s">
        <v>199</v>
      </c>
      <c r="B159" s="92" t="s">
        <v>200</v>
      </c>
      <c r="C159" s="95">
        <v>700000</v>
      </c>
      <c r="D159" s="106">
        <f>F159-C159</f>
        <v>1400000</v>
      </c>
      <c r="E159" s="341">
        <f>F159/C159*100</f>
        <v>300</v>
      </c>
      <c r="F159" s="96">
        <f>'Kiadások részletes COFOG'!F257</f>
        <v>2100000</v>
      </c>
      <c r="K159" s="77"/>
    </row>
    <row r="160" spans="1:11" ht="24" customHeight="1" thickBot="1" x14ac:dyDescent="0.25">
      <c r="A160" s="102" t="s">
        <v>213</v>
      </c>
      <c r="B160" s="92" t="s">
        <v>271</v>
      </c>
      <c r="C160" s="95">
        <v>1500000</v>
      </c>
      <c r="D160" s="106">
        <f>F160-C160</f>
        <v>600000</v>
      </c>
      <c r="E160" s="341">
        <f>F160/C160*100</f>
        <v>140</v>
      </c>
      <c r="F160" s="96">
        <f>'Kiadások részletes COFOG'!F258</f>
        <v>2100000</v>
      </c>
      <c r="H160" s="173"/>
      <c r="I160" s="174"/>
      <c r="J160" s="174"/>
      <c r="K160" s="174"/>
    </row>
    <row r="161" spans="1:11" ht="21" customHeight="1" thickBot="1" x14ac:dyDescent="0.25">
      <c r="A161" s="821" t="s">
        <v>279</v>
      </c>
      <c r="B161" s="821"/>
      <c r="C161" s="93">
        <f>SUM(C157:C160)</f>
        <v>6870000</v>
      </c>
      <c r="D161" s="93">
        <f>SUM(D157:D160)</f>
        <v>2970000</v>
      </c>
      <c r="E161" s="342">
        <f>F161/C161*100</f>
        <v>143.23144104803492</v>
      </c>
      <c r="F161" s="94">
        <f>SUM(F157:F160)</f>
        <v>9840000</v>
      </c>
    </row>
    <row r="162" spans="1:11" ht="25.5" customHeight="1" thickBot="1" x14ac:dyDescent="0.25">
      <c r="A162" s="805" t="s">
        <v>287</v>
      </c>
      <c r="B162" s="805"/>
      <c r="C162" s="805"/>
      <c r="D162" s="805"/>
      <c r="E162" s="805"/>
      <c r="F162" s="805"/>
    </row>
    <row r="163" spans="1:11" ht="21.75" customHeight="1" thickBot="1" x14ac:dyDescent="0.25">
      <c r="A163" s="823" t="s">
        <v>46</v>
      </c>
      <c r="B163" s="824" t="s">
        <v>47</v>
      </c>
      <c r="C163" s="825">
        <v>2022</v>
      </c>
      <c r="D163" s="826"/>
      <c r="E163" s="826"/>
      <c r="F163" s="457">
        <v>2023</v>
      </c>
    </row>
    <row r="164" spans="1:11" ht="27.75" customHeight="1" thickBot="1" x14ac:dyDescent="0.25">
      <c r="A164" s="823"/>
      <c r="B164" s="824"/>
      <c r="C164" s="149" t="s">
        <v>48</v>
      </c>
      <c r="D164" s="149" t="s">
        <v>509</v>
      </c>
      <c r="E164" s="149" t="s">
        <v>384</v>
      </c>
      <c r="F164" s="456" t="s">
        <v>510</v>
      </c>
      <c r="J164" s="174"/>
    </row>
    <row r="165" spans="1:11" ht="15" customHeight="1" x14ac:dyDescent="0.2">
      <c r="A165" s="86" t="s">
        <v>144</v>
      </c>
      <c r="B165" s="87" t="s">
        <v>145</v>
      </c>
      <c r="C165" s="106">
        <v>3420000</v>
      </c>
      <c r="D165" s="106">
        <f>F165-C165</f>
        <v>230000</v>
      </c>
      <c r="E165" s="197">
        <f>F165/C165*100</f>
        <v>106.7251461988304</v>
      </c>
      <c r="F165" s="107">
        <f>'Kiadások részletes COFOG'!F266</f>
        <v>3650000</v>
      </c>
      <c r="G165" s="156"/>
    </row>
    <row r="166" spans="1:11" ht="15" customHeight="1" x14ac:dyDescent="0.2">
      <c r="A166" s="114" t="s">
        <v>698</v>
      </c>
      <c r="B166" s="87" t="s">
        <v>699</v>
      </c>
      <c r="C166" s="106">
        <v>0</v>
      </c>
      <c r="D166" s="106">
        <f>F166-C166</f>
        <v>150000</v>
      </c>
      <c r="E166" s="197">
        <v>0</v>
      </c>
      <c r="F166" s="107">
        <f>'Kiadások részletes COFOG'!F267</f>
        <v>150000</v>
      </c>
    </row>
    <row r="167" spans="1:11" ht="15" customHeight="1" x14ac:dyDescent="0.2">
      <c r="A167" s="114" t="s">
        <v>424</v>
      </c>
      <c r="B167" s="87" t="s">
        <v>606</v>
      </c>
      <c r="C167" s="106">
        <v>100000</v>
      </c>
      <c r="D167" s="106">
        <f>F167-C167</f>
        <v>0</v>
      </c>
      <c r="E167" s="197"/>
      <c r="F167" s="107">
        <f>('Kiadások részletes COFOG'!F268)</f>
        <v>100000</v>
      </c>
    </row>
    <row r="168" spans="1:11" ht="15" customHeight="1" x14ac:dyDescent="0.2">
      <c r="A168" s="114" t="s">
        <v>148</v>
      </c>
      <c r="B168" s="87" t="s">
        <v>149</v>
      </c>
      <c r="C168" s="106">
        <v>12000</v>
      </c>
      <c r="D168" s="106">
        <f t="shared" ref="D168:D186" si="16">F168-C168</f>
        <v>-12000</v>
      </c>
      <c r="E168" s="197">
        <f>F168/C168*100</f>
        <v>0</v>
      </c>
      <c r="F168" s="107">
        <f>'Kiadások részletes COFOG'!F270</f>
        <v>0</v>
      </c>
    </row>
    <row r="169" spans="1:11" ht="15" customHeight="1" x14ac:dyDescent="0.2">
      <c r="A169" s="114" t="s">
        <v>150</v>
      </c>
      <c r="B169" s="87" t="s">
        <v>151</v>
      </c>
      <c r="C169" s="106">
        <v>200000</v>
      </c>
      <c r="D169" s="106">
        <f t="shared" si="16"/>
        <v>-40000</v>
      </c>
      <c r="E169" s="197">
        <f>F169/C169*100</f>
        <v>80</v>
      </c>
      <c r="F169" s="107">
        <f>'Kiadások részletes COFOG'!F271</f>
        <v>160000</v>
      </c>
    </row>
    <row r="170" spans="1:11" ht="15" customHeight="1" x14ac:dyDescent="0.2">
      <c r="A170" s="86" t="s">
        <v>158</v>
      </c>
      <c r="B170" s="87" t="s">
        <v>159</v>
      </c>
      <c r="C170" s="106">
        <v>820000</v>
      </c>
      <c r="D170" s="106">
        <f t="shared" si="16"/>
        <v>80000</v>
      </c>
      <c r="E170" s="197">
        <f>F170/C170*100</f>
        <v>109.75609756097562</v>
      </c>
      <c r="F170" s="107">
        <f>'Kiadások részletes COFOG'!F278</f>
        <v>900000</v>
      </c>
      <c r="K170" s="155"/>
    </row>
    <row r="171" spans="1:11" ht="15" customHeight="1" x14ac:dyDescent="0.2">
      <c r="A171" s="86" t="s">
        <v>164</v>
      </c>
      <c r="B171" s="87" t="s">
        <v>163</v>
      </c>
      <c r="C171" s="106">
        <v>0</v>
      </c>
      <c r="D171" s="106">
        <f t="shared" si="16"/>
        <v>0</v>
      </c>
      <c r="E171" s="197">
        <v>0</v>
      </c>
      <c r="F171" s="107">
        <f>'Kiadások részletes COFOG'!F281</f>
        <v>0</v>
      </c>
    </row>
    <row r="172" spans="1:11" ht="15" customHeight="1" x14ac:dyDescent="0.2">
      <c r="A172" s="86" t="s">
        <v>170</v>
      </c>
      <c r="B172" s="87" t="s">
        <v>171</v>
      </c>
      <c r="C172" s="106">
        <v>2500000</v>
      </c>
      <c r="D172" s="106">
        <f t="shared" si="16"/>
        <v>0</v>
      </c>
      <c r="E172" s="197">
        <f>F172/C172*100</f>
        <v>100</v>
      </c>
      <c r="F172" s="107">
        <f>'Kiadások részletes COFOG'!F282</f>
        <v>2500000</v>
      </c>
    </row>
    <row r="173" spans="1:11" ht="15" customHeight="1" x14ac:dyDescent="0.2">
      <c r="A173" s="114" t="s">
        <v>426</v>
      </c>
      <c r="B173" s="87" t="s">
        <v>321</v>
      </c>
      <c r="C173" s="106">
        <v>165600</v>
      </c>
      <c r="D173" s="106">
        <f t="shared" si="16"/>
        <v>0</v>
      </c>
      <c r="E173" s="197">
        <v>0</v>
      </c>
      <c r="F173" s="107">
        <f>SUM('Kiadások részletes COFOG'!F288)</f>
        <v>165600</v>
      </c>
    </row>
    <row r="174" spans="1:11" ht="15" customHeight="1" x14ac:dyDescent="0.2">
      <c r="A174" s="114" t="s">
        <v>187</v>
      </c>
      <c r="B174" s="87" t="s">
        <v>288</v>
      </c>
      <c r="C174" s="106">
        <v>500000</v>
      </c>
      <c r="D174" s="106">
        <f t="shared" si="16"/>
        <v>530000</v>
      </c>
      <c r="E174" s="197">
        <f>F174/C174*100</f>
        <v>206</v>
      </c>
      <c r="F174" s="107">
        <f>SUM('Kiadások részletes COFOG'!F290)</f>
        <v>1030000</v>
      </c>
    </row>
    <row r="175" spans="1:11" ht="15" customHeight="1" x14ac:dyDescent="0.2">
      <c r="A175" s="86" t="s">
        <v>197</v>
      </c>
      <c r="B175" s="87" t="s">
        <v>198</v>
      </c>
      <c r="C175" s="106">
        <v>0</v>
      </c>
      <c r="D175" s="106">
        <f t="shared" si="16"/>
        <v>0</v>
      </c>
      <c r="E175" s="197">
        <v>0</v>
      </c>
      <c r="F175" s="107">
        <f>'Kiadások részletes COFOG'!F294</f>
        <v>0</v>
      </c>
    </row>
    <row r="176" spans="1:11" ht="15" customHeight="1" x14ac:dyDescent="0.2">
      <c r="A176" s="86" t="s">
        <v>199</v>
      </c>
      <c r="B176" s="87" t="s">
        <v>200</v>
      </c>
      <c r="C176" s="106">
        <v>750000</v>
      </c>
      <c r="D176" s="106">
        <f t="shared" si="16"/>
        <v>-100000</v>
      </c>
      <c r="E176" s="197">
        <f>F176/C176*100</f>
        <v>86.666666666666671</v>
      </c>
      <c r="F176" s="107">
        <f>SUM('Kiadások részletes COFOG'!F295)</f>
        <v>650000</v>
      </c>
    </row>
    <row r="177" spans="1:9" ht="15" customHeight="1" x14ac:dyDescent="0.2">
      <c r="A177" s="86" t="s">
        <v>203</v>
      </c>
      <c r="B177" s="87" t="s">
        <v>204</v>
      </c>
      <c r="C177" s="106">
        <v>0</v>
      </c>
      <c r="D177" s="106">
        <f t="shared" si="16"/>
        <v>15000</v>
      </c>
      <c r="E177" s="197">
        <v>0</v>
      </c>
      <c r="F177" s="107">
        <f>SUM('Kiadások részletes COFOG'!F298)</f>
        <v>15000</v>
      </c>
    </row>
    <row r="178" spans="1:9" ht="15" customHeight="1" x14ac:dyDescent="0.2">
      <c r="A178" s="86" t="s">
        <v>205</v>
      </c>
      <c r="B178" s="87" t="s">
        <v>206</v>
      </c>
      <c r="C178" s="106">
        <v>2000000</v>
      </c>
      <c r="D178" s="106">
        <f t="shared" si="16"/>
        <v>200000</v>
      </c>
      <c r="E178" s="197">
        <f>F178/C178*100</f>
        <v>110.00000000000001</v>
      </c>
      <c r="F178" s="107">
        <f>SUM('Kiadások részletes COFOG'!F299)</f>
        <v>2200000</v>
      </c>
    </row>
    <row r="179" spans="1:9" ht="15" customHeight="1" x14ac:dyDescent="0.2">
      <c r="A179" s="86" t="s">
        <v>211</v>
      </c>
      <c r="B179" s="87" t="s">
        <v>212</v>
      </c>
      <c r="C179" s="106"/>
      <c r="D179" s="106">
        <f t="shared" si="16"/>
        <v>0</v>
      </c>
      <c r="E179" s="197">
        <v>0</v>
      </c>
      <c r="F179" s="107"/>
    </row>
    <row r="180" spans="1:9" ht="21" x14ac:dyDescent="0.2">
      <c r="A180" s="86" t="s">
        <v>213</v>
      </c>
      <c r="B180" s="87" t="s">
        <v>271</v>
      </c>
      <c r="C180" s="106">
        <v>1400000</v>
      </c>
      <c r="D180" s="106">
        <f t="shared" si="16"/>
        <v>100000</v>
      </c>
      <c r="E180" s="197">
        <f t="shared" ref="E180:E183" si="17">F180/C180*100</f>
        <v>107.14285714285714</v>
      </c>
      <c r="F180" s="107">
        <f>'Kiadások részletes COFOG'!F305</f>
        <v>1500000</v>
      </c>
      <c r="I180" s="155"/>
    </row>
    <row r="181" spans="1:9" ht="18" customHeight="1" x14ac:dyDescent="0.2">
      <c r="A181" s="114" t="s">
        <v>217</v>
      </c>
      <c r="B181" s="87" t="s">
        <v>218</v>
      </c>
      <c r="C181" s="106">
        <v>0</v>
      </c>
      <c r="D181" s="106">
        <f t="shared" si="16"/>
        <v>0</v>
      </c>
      <c r="E181" s="197">
        <v>0</v>
      </c>
      <c r="F181" s="107">
        <f>'Kiadások részletes COFOG'!F306</f>
        <v>0</v>
      </c>
      <c r="I181" s="155"/>
    </row>
    <row r="182" spans="1:9" ht="19.5" customHeight="1" x14ac:dyDescent="0.2">
      <c r="A182" s="86" t="s">
        <v>247</v>
      </c>
      <c r="B182" s="87" t="s">
        <v>248</v>
      </c>
      <c r="C182" s="106">
        <v>240000</v>
      </c>
      <c r="D182" s="106">
        <f t="shared" si="16"/>
        <v>-40000</v>
      </c>
      <c r="E182" s="197">
        <f t="shared" si="17"/>
        <v>83.333333333333343</v>
      </c>
      <c r="F182" s="107">
        <f>'Kiadások részletes COFOG'!F309</f>
        <v>200000</v>
      </c>
    </row>
    <row r="183" spans="1:9" ht="22.5" customHeight="1" x14ac:dyDescent="0.2">
      <c r="A183" s="102" t="s">
        <v>249</v>
      </c>
      <c r="B183" s="92" t="s">
        <v>276</v>
      </c>
      <c r="C183" s="95">
        <v>65000</v>
      </c>
      <c r="D183" s="106">
        <f t="shared" si="16"/>
        <v>-11000</v>
      </c>
      <c r="E183" s="197">
        <f t="shared" si="17"/>
        <v>83.07692307692308</v>
      </c>
      <c r="F183" s="96">
        <f>'Kiadások részletes COFOG'!F310</f>
        <v>54000</v>
      </c>
    </row>
    <row r="184" spans="1:9" ht="21.75" customHeight="1" x14ac:dyDescent="0.2">
      <c r="A184" s="91" t="s">
        <v>251</v>
      </c>
      <c r="B184" s="159" t="s">
        <v>417</v>
      </c>
      <c r="C184" s="95">
        <v>0</v>
      </c>
      <c r="D184" s="106">
        <f t="shared" si="16"/>
        <v>0</v>
      </c>
      <c r="E184" s="197">
        <v>0</v>
      </c>
      <c r="F184" s="96">
        <f>'Kiadások részletes COFOG'!F311</f>
        <v>0</v>
      </c>
    </row>
    <row r="185" spans="1:9" ht="21.75" customHeight="1" x14ac:dyDescent="0.2">
      <c r="A185" s="91" t="s">
        <v>255</v>
      </c>
      <c r="B185" s="159" t="s">
        <v>277</v>
      </c>
      <c r="C185" s="95">
        <v>0</v>
      </c>
      <c r="D185" s="106">
        <f t="shared" si="16"/>
        <v>0</v>
      </c>
      <c r="E185" s="197">
        <v>0</v>
      </c>
      <c r="F185" s="96">
        <f>'Kiadások részletes COFOG'!F312</f>
        <v>0</v>
      </c>
    </row>
    <row r="186" spans="1:9" ht="30" customHeight="1" thickBot="1" x14ac:dyDescent="0.25">
      <c r="A186" s="104" t="s">
        <v>420</v>
      </c>
      <c r="B186" s="340" t="s">
        <v>421</v>
      </c>
      <c r="C186" s="330">
        <v>0</v>
      </c>
      <c r="D186" s="106">
        <f t="shared" si="16"/>
        <v>0</v>
      </c>
      <c r="E186" s="197">
        <v>0</v>
      </c>
      <c r="F186" s="177">
        <f>'Kiadások részletes COFOG'!F313</f>
        <v>0</v>
      </c>
    </row>
    <row r="187" spans="1:9" ht="23.25" customHeight="1" thickBot="1" x14ac:dyDescent="0.25">
      <c r="A187" s="821" t="s">
        <v>279</v>
      </c>
      <c r="B187" s="821"/>
      <c r="C187" s="93">
        <f>SUM(C165:C186)</f>
        <v>12172600</v>
      </c>
      <c r="D187" s="93">
        <f>SUM(D165:D186)</f>
        <v>1102000</v>
      </c>
      <c r="E187" s="311">
        <f>F187/C187*100</f>
        <v>109.05311930072459</v>
      </c>
      <c r="F187" s="94">
        <f>SUM(F165:F186)</f>
        <v>13274600</v>
      </c>
    </row>
    <row r="188" spans="1:9" ht="24" customHeight="1" thickBot="1" x14ac:dyDescent="0.25">
      <c r="A188" s="805" t="s">
        <v>135</v>
      </c>
      <c r="B188" s="805"/>
      <c r="C188" s="805"/>
      <c r="D188" s="805"/>
      <c r="E188" s="805"/>
      <c r="F188" s="805"/>
    </row>
    <row r="189" spans="1:9" ht="23.25" customHeight="1" thickBot="1" x14ac:dyDescent="0.25">
      <c r="A189" s="823" t="s">
        <v>46</v>
      </c>
      <c r="B189" s="824" t="s">
        <v>47</v>
      </c>
      <c r="C189" s="825">
        <v>2022</v>
      </c>
      <c r="D189" s="826"/>
      <c r="E189" s="826"/>
      <c r="F189" s="457">
        <v>2023</v>
      </c>
    </row>
    <row r="190" spans="1:9" ht="25.5" customHeight="1" thickBot="1" x14ac:dyDescent="0.25">
      <c r="A190" s="828"/>
      <c r="B190" s="829"/>
      <c r="C190" s="149" t="s">
        <v>48</v>
      </c>
      <c r="D190" s="149" t="s">
        <v>509</v>
      </c>
      <c r="E190" s="149" t="s">
        <v>384</v>
      </c>
      <c r="F190" s="456" t="s">
        <v>510</v>
      </c>
    </row>
    <row r="191" spans="1:9" ht="15.95" customHeight="1" x14ac:dyDescent="0.2">
      <c r="A191" s="150" t="s">
        <v>142</v>
      </c>
      <c r="B191" s="151" t="s">
        <v>143</v>
      </c>
      <c r="C191" s="349">
        <v>7500000</v>
      </c>
      <c r="D191" s="349">
        <f t="shared" ref="D191:D213" si="18">F191-C191</f>
        <v>-3090000</v>
      </c>
      <c r="E191" s="197">
        <f t="shared" ref="E191:E200" si="19">F191/C191*100</f>
        <v>58.8</v>
      </c>
      <c r="F191" s="350">
        <f>'Kiadások részletes COFOG'!F320</f>
        <v>4410000</v>
      </c>
      <c r="G191" s="156"/>
    </row>
    <row r="192" spans="1:9" ht="15.95" customHeight="1" x14ac:dyDescent="0.2">
      <c r="A192" s="327" t="s">
        <v>698</v>
      </c>
      <c r="B192" s="151" t="s">
        <v>703</v>
      </c>
      <c r="C192" s="349">
        <v>0</v>
      </c>
      <c r="D192" s="349">
        <f t="shared" si="18"/>
        <v>250000</v>
      </c>
      <c r="E192" s="197">
        <v>0</v>
      </c>
      <c r="F192" s="350">
        <f>SUM('Kiadások részletes COFOG'!F321)</f>
        <v>250000</v>
      </c>
      <c r="G192" s="156"/>
    </row>
    <row r="193" spans="1:11" ht="15.95" customHeight="1" x14ac:dyDescent="0.2">
      <c r="A193" s="114" t="s">
        <v>422</v>
      </c>
      <c r="B193" s="87" t="s">
        <v>423</v>
      </c>
      <c r="C193" s="112">
        <v>200000</v>
      </c>
      <c r="D193" s="349">
        <f t="shared" si="18"/>
        <v>-100000</v>
      </c>
      <c r="E193" s="197">
        <f t="shared" si="19"/>
        <v>50</v>
      </c>
      <c r="F193" s="113">
        <f>'Kiadások részletes COFOG'!F324</f>
        <v>100000</v>
      </c>
      <c r="G193" s="156"/>
    </row>
    <row r="194" spans="1:11" ht="15.95" customHeight="1" x14ac:dyDescent="0.2">
      <c r="A194" s="114" t="s">
        <v>535</v>
      </c>
      <c r="B194" s="87" t="s">
        <v>536</v>
      </c>
      <c r="C194" s="112">
        <v>0</v>
      </c>
      <c r="D194" s="349">
        <f t="shared" si="18"/>
        <v>0</v>
      </c>
      <c r="E194" s="197">
        <v>0</v>
      </c>
      <c r="F194" s="113">
        <f>'Kiadások részletes COFOG'!F325</f>
        <v>0</v>
      </c>
      <c r="G194" s="156"/>
    </row>
    <row r="195" spans="1:11" ht="15.95" customHeight="1" x14ac:dyDescent="0.2">
      <c r="A195" s="114" t="s">
        <v>424</v>
      </c>
      <c r="B195" s="87" t="s">
        <v>425</v>
      </c>
      <c r="C195" s="112">
        <v>200000</v>
      </c>
      <c r="D195" s="349">
        <f t="shared" si="18"/>
        <v>-100000</v>
      </c>
      <c r="E195" s="197">
        <f t="shared" si="19"/>
        <v>50</v>
      </c>
      <c r="F195" s="113">
        <f>'Kiadások részletes COFOG'!F326</f>
        <v>100000</v>
      </c>
      <c r="G195" s="156"/>
    </row>
    <row r="196" spans="1:11" ht="15.95" customHeight="1" x14ac:dyDescent="0.2">
      <c r="A196" s="86" t="s">
        <v>146</v>
      </c>
      <c r="B196" s="87" t="s">
        <v>147</v>
      </c>
      <c r="C196" s="106">
        <v>0</v>
      </c>
      <c r="D196" s="349">
        <f t="shared" si="18"/>
        <v>0</v>
      </c>
      <c r="E196" s="197">
        <v>0</v>
      </c>
      <c r="F196" s="107">
        <f>'Kiadások részletes COFOG'!F327</f>
        <v>0</v>
      </c>
    </row>
    <row r="197" spans="1:11" ht="15.95" customHeight="1" x14ac:dyDescent="0.2">
      <c r="A197" s="86" t="s">
        <v>148</v>
      </c>
      <c r="B197" s="87" t="s">
        <v>149</v>
      </c>
      <c r="C197" s="106">
        <v>12000</v>
      </c>
      <c r="D197" s="349">
        <f t="shared" si="18"/>
        <v>-12000</v>
      </c>
      <c r="E197" s="197">
        <f t="shared" si="19"/>
        <v>0</v>
      </c>
      <c r="F197" s="107">
        <f>'Kiadások részletes COFOG'!F328</f>
        <v>0</v>
      </c>
      <c r="K197" s="155"/>
    </row>
    <row r="198" spans="1:11" s="176" customFormat="1" ht="18" customHeight="1" x14ac:dyDescent="0.2">
      <c r="A198" s="114" t="s">
        <v>291</v>
      </c>
      <c r="B198" s="175" t="s">
        <v>151</v>
      </c>
      <c r="C198" s="351">
        <v>378000</v>
      </c>
      <c r="D198" s="349">
        <f t="shared" si="18"/>
        <v>-278000</v>
      </c>
      <c r="E198" s="197">
        <f t="shared" si="19"/>
        <v>26.455026455026452</v>
      </c>
      <c r="F198" s="107">
        <f>'Kiadások részletes COFOG'!F329</f>
        <v>100000</v>
      </c>
    </row>
    <row r="199" spans="1:11" ht="21" customHeight="1" x14ac:dyDescent="0.2">
      <c r="A199" s="86" t="s">
        <v>154</v>
      </c>
      <c r="B199" s="87" t="s">
        <v>155</v>
      </c>
      <c r="C199" s="106">
        <v>950000</v>
      </c>
      <c r="D199" s="349">
        <f t="shared" si="18"/>
        <v>230000</v>
      </c>
      <c r="E199" s="197">
        <f t="shared" si="19"/>
        <v>124.21052631578948</v>
      </c>
      <c r="F199" s="107">
        <f>'Kiadások részletes COFOG'!F332</f>
        <v>1180000</v>
      </c>
      <c r="K199" s="77"/>
    </row>
    <row r="200" spans="1:11" ht="15.95" customHeight="1" x14ac:dyDescent="0.2">
      <c r="A200" s="86" t="s">
        <v>158</v>
      </c>
      <c r="B200" s="87" t="s">
        <v>633</v>
      </c>
      <c r="C200" s="106">
        <v>1300000</v>
      </c>
      <c r="D200" s="349">
        <f t="shared" si="18"/>
        <v>-485000</v>
      </c>
      <c r="E200" s="197">
        <f t="shared" si="19"/>
        <v>62.692307692307693</v>
      </c>
      <c r="F200" s="107">
        <f>'Kiadások részletes COFOG'!F339</f>
        <v>815000</v>
      </c>
    </row>
    <row r="201" spans="1:11" ht="15.95" customHeight="1" x14ac:dyDescent="0.2">
      <c r="A201" s="86" t="s">
        <v>164</v>
      </c>
      <c r="B201" s="87" t="s">
        <v>163</v>
      </c>
      <c r="C201" s="106">
        <v>50000</v>
      </c>
      <c r="D201" s="349">
        <f t="shared" si="18"/>
        <v>-20000</v>
      </c>
      <c r="E201" s="197">
        <f t="shared" ref="E201:E209" si="20">F201/C201*100</f>
        <v>60</v>
      </c>
      <c r="F201" s="107">
        <f>'Kiadások részletes COFOG'!F340</f>
        <v>30000</v>
      </c>
    </row>
    <row r="202" spans="1:11" ht="15.95" customHeight="1" x14ac:dyDescent="0.2">
      <c r="A202" s="86" t="s">
        <v>170</v>
      </c>
      <c r="B202" s="87" t="s">
        <v>171</v>
      </c>
      <c r="C202" s="106">
        <v>150000</v>
      </c>
      <c r="D202" s="349">
        <f t="shared" si="18"/>
        <v>0</v>
      </c>
      <c r="E202" s="197">
        <f t="shared" si="20"/>
        <v>100</v>
      </c>
      <c r="F202" s="107">
        <f>'Kiadások részletes COFOG'!F341</f>
        <v>150000</v>
      </c>
    </row>
    <row r="203" spans="1:11" ht="15.95" customHeight="1" x14ac:dyDescent="0.2">
      <c r="A203" s="114" t="s">
        <v>426</v>
      </c>
      <c r="B203" s="87" t="s">
        <v>392</v>
      </c>
      <c r="C203" s="106">
        <v>82800</v>
      </c>
      <c r="D203" s="349">
        <f t="shared" si="18"/>
        <v>-40800</v>
      </c>
      <c r="E203" s="197">
        <f t="shared" si="20"/>
        <v>50.724637681159422</v>
      </c>
      <c r="F203" s="107">
        <f>'Kiadások részletes COFOG'!F344</f>
        <v>42000</v>
      </c>
    </row>
    <row r="204" spans="1:11" ht="15.95" customHeight="1" x14ac:dyDescent="0.2">
      <c r="A204" s="86" t="s">
        <v>185</v>
      </c>
      <c r="B204" s="87" t="s">
        <v>427</v>
      </c>
      <c r="C204" s="106">
        <v>171600</v>
      </c>
      <c r="D204" s="349">
        <f t="shared" si="18"/>
        <v>-81600</v>
      </c>
      <c r="E204" s="197">
        <f t="shared" si="20"/>
        <v>52.447552447552447</v>
      </c>
      <c r="F204" s="107">
        <f>'Kiadások részletes COFOG'!F346</f>
        <v>90000</v>
      </c>
    </row>
    <row r="205" spans="1:11" ht="15.95" customHeight="1" x14ac:dyDescent="0.2">
      <c r="A205" s="86" t="s">
        <v>199</v>
      </c>
      <c r="B205" s="87" t="s">
        <v>200</v>
      </c>
      <c r="C205" s="106">
        <v>50000</v>
      </c>
      <c r="D205" s="349">
        <f t="shared" si="18"/>
        <v>0</v>
      </c>
      <c r="E205" s="197">
        <f t="shared" si="20"/>
        <v>100</v>
      </c>
      <c r="F205" s="107">
        <f>'Kiadások részletes COFOG'!F348</f>
        <v>50000</v>
      </c>
    </row>
    <row r="206" spans="1:11" ht="19.5" customHeight="1" x14ac:dyDescent="0.2">
      <c r="A206" s="86" t="s">
        <v>201</v>
      </c>
      <c r="B206" s="87" t="s">
        <v>202</v>
      </c>
      <c r="C206" s="106">
        <v>110000</v>
      </c>
      <c r="D206" s="349">
        <f t="shared" si="18"/>
        <v>0</v>
      </c>
      <c r="E206" s="197">
        <f t="shared" si="20"/>
        <v>100</v>
      </c>
      <c r="F206" s="107">
        <f>SUM('Kiadások részletes COFOG'!F349)</f>
        <v>110000</v>
      </c>
    </row>
    <row r="207" spans="1:11" ht="15.95" customHeight="1" x14ac:dyDescent="0.2">
      <c r="A207" s="114" t="s">
        <v>205</v>
      </c>
      <c r="B207" s="87" t="s">
        <v>206</v>
      </c>
      <c r="C207" s="106">
        <v>20000</v>
      </c>
      <c r="D207" s="349">
        <f t="shared" si="18"/>
        <v>0</v>
      </c>
      <c r="E207" s="197">
        <f t="shared" si="20"/>
        <v>100</v>
      </c>
      <c r="F207" s="107">
        <f>SUM('Kiadások részletes COFOG'!F352)</f>
        <v>20000</v>
      </c>
    </row>
    <row r="208" spans="1:11" ht="15.95" customHeight="1" x14ac:dyDescent="0.2">
      <c r="A208" s="114" t="s">
        <v>292</v>
      </c>
      <c r="B208" s="87" t="s">
        <v>293</v>
      </c>
      <c r="C208" s="106">
        <v>50000</v>
      </c>
      <c r="D208" s="349">
        <f t="shared" si="18"/>
        <v>0</v>
      </c>
      <c r="E208" s="197">
        <f t="shared" si="20"/>
        <v>100</v>
      </c>
      <c r="F208" s="107">
        <f>'Kiadások részletes COFOG'!F353</f>
        <v>50000</v>
      </c>
    </row>
    <row r="209" spans="1:6" ht="21.75" customHeight="1" x14ac:dyDescent="0.2">
      <c r="A209" s="86" t="s">
        <v>213</v>
      </c>
      <c r="B209" s="87" t="s">
        <v>271</v>
      </c>
      <c r="C209" s="106">
        <v>115000</v>
      </c>
      <c r="D209" s="349">
        <f t="shared" si="18"/>
        <v>-27700</v>
      </c>
      <c r="E209" s="197">
        <f t="shared" si="20"/>
        <v>75.91304347826086</v>
      </c>
      <c r="F209" s="107">
        <f>'Kiadások részletes COFOG'!F354</f>
        <v>87300</v>
      </c>
    </row>
    <row r="210" spans="1:6" ht="21.75" customHeight="1" x14ac:dyDescent="0.2">
      <c r="A210" s="114" t="s">
        <v>247</v>
      </c>
      <c r="B210" s="204" t="s">
        <v>482</v>
      </c>
      <c r="C210" s="106">
        <v>0</v>
      </c>
      <c r="D210" s="349">
        <f t="shared" si="18"/>
        <v>0</v>
      </c>
      <c r="E210" s="197">
        <v>0</v>
      </c>
      <c r="F210" s="107">
        <f>'Kiadások részletes COFOG'!F357</f>
        <v>0</v>
      </c>
    </row>
    <row r="211" spans="1:6" ht="21.75" customHeight="1" x14ac:dyDescent="0.2">
      <c r="A211" s="114" t="s">
        <v>249</v>
      </c>
      <c r="B211" s="204" t="s">
        <v>276</v>
      </c>
      <c r="C211" s="106">
        <v>0</v>
      </c>
      <c r="D211" s="349">
        <f t="shared" si="18"/>
        <v>0</v>
      </c>
      <c r="E211" s="197">
        <v>0</v>
      </c>
      <c r="F211" s="107">
        <f>'Kiadások részletes COFOG'!F358</f>
        <v>0</v>
      </c>
    </row>
    <row r="212" spans="1:6" ht="21.75" customHeight="1" x14ac:dyDescent="0.2">
      <c r="A212" s="114" t="s">
        <v>251</v>
      </c>
      <c r="B212" s="204" t="s">
        <v>506</v>
      </c>
      <c r="C212" s="106">
        <v>0</v>
      </c>
      <c r="D212" s="349">
        <f t="shared" si="18"/>
        <v>0</v>
      </c>
      <c r="E212" s="197">
        <v>0</v>
      </c>
      <c r="F212" s="107">
        <f>'Kiadások részletes COFOG'!F359</f>
        <v>0</v>
      </c>
    </row>
    <row r="213" spans="1:6" ht="21.75" customHeight="1" thickBot="1" x14ac:dyDescent="0.25">
      <c r="A213" s="101" t="s">
        <v>255</v>
      </c>
      <c r="B213" s="439" t="s">
        <v>277</v>
      </c>
      <c r="C213" s="389">
        <v>0</v>
      </c>
      <c r="D213" s="349">
        <f t="shared" si="18"/>
        <v>0</v>
      </c>
      <c r="E213" s="197">
        <v>0</v>
      </c>
      <c r="F213" s="390">
        <f>'Kiadások részletes COFOG'!F360</f>
        <v>0</v>
      </c>
    </row>
    <row r="214" spans="1:6" ht="21.75" customHeight="1" thickBot="1" x14ac:dyDescent="0.25">
      <c r="A214" s="832" t="s">
        <v>279</v>
      </c>
      <c r="B214" s="832"/>
      <c r="C214" s="332">
        <f>SUM(C191:C213)</f>
        <v>11339400</v>
      </c>
      <c r="D214" s="332">
        <f>SUM(D191:D213)</f>
        <v>-3755100</v>
      </c>
      <c r="E214" s="333">
        <f>F214/C214*100</f>
        <v>66.884491242922905</v>
      </c>
      <c r="F214" s="334">
        <f>SUM(F191:F213)</f>
        <v>7584300</v>
      </c>
    </row>
    <row r="215" spans="1:6" ht="21.75" customHeight="1" thickBot="1" x14ac:dyDescent="0.25">
      <c r="A215" s="830" t="s">
        <v>428</v>
      </c>
      <c r="B215" s="831"/>
      <c r="C215" s="831"/>
      <c r="D215" s="831"/>
      <c r="E215" s="831"/>
      <c r="F215" s="833"/>
    </row>
    <row r="216" spans="1:6" ht="21.75" customHeight="1" thickBot="1" x14ac:dyDescent="0.25">
      <c r="A216" s="823" t="s">
        <v>46</v>
      </c>
      <c r="B216" s="824" t="s">
        <v>47</v>
      </c>
      <c r="C216" s="825">
        <v>2022</v>
      </c>
      <c r="D216" s="826"/>
      <c r="E216" s="826"/>
      <c r="F216" s="457">
        <v>2023</v>
      </c>
    </row>
    <row r="217" spans="1:6" ht="21.75" customHeight="1" thickBot="1" x14ac:dyDescent="0.25">
      <c r="A217" s="823"/>
      <c r="B217" s="824"/>
      <c r="C217" s="149" t="s">
        <v>48</v>
      </c>
      <c r="D217" s="149" t="s">
        <v>509</v>
      </c>
      <c r="E217" s="149" t="s">
        <v>384</v>
      </c>
      <c r="F217" s="456" t="s">
        <v>510</v>
      </c>
    </row>
    <row r="218" spans="1:6" ht="21.75" customHeight="1" thickBot="1" x14ac:dyDescent="0.25">
      <c r="A218" s="114" t="s">
        <v>201</v>
      </c>
      <c r="B218" s="87" t="s">
        <v>202</v>
      </c>
      <c r="C218" s="106">
        <v>96000</v>
      </c>
      <c r="D218" s="106">
        <f>F218-C218</f>
        <v>32400</v>
      </c>
      <c r="E218" s="313">
        <f>F218/C218*100</f>
        <v>133.75</v>
      </c>
      <c r="F218" s="107">
        <f>SUM('Kiadások részletes COFOG'!F367)</f>
        <v>128400</v>
      </c>
    </row>
    <row r="219" spans="1:6" ht="21.75" customHeight="1" thickBot="1" x14ac:dyDescent="0.25">
      <c r="A219" s="821" t="s">
        <v>279</v>
      </c>
      <c r="B219" s="821"/>
      <c r="C219" s="93">
        <f>SUM(C218:C218)</f>
        <v>96000</v>
      </c>
      <c r="D219" s="93">
        <f>D218</f>
        <v>32400</v>
      </c>
      <c r="E219" s="311">
        <f>F219/C219*100</f>
        <v>133.75</v>
      </c>
      <c r="F219" s="94">
        <f>SUM(F218:F218)</f>
        <v>128400</v>
      </c>
    </row>
    <row r="220" spans="1:6" ht="21.75" customHeight="1" thickBot="1" x14ac:dyDescent="0.25">
      <c r="A220" s="830" t="s">
        <v>607</v>
      </c>
      <c r="B220" s="831"/>
      <c r="C220" s="831"/>
      <c r="D220" s="831"/>
      <c r="E220" s="831"/>
      <c r="F220" s="831"/>
    </row>
    <row r="221" spans="1:6" ht="21.75" customHeight="1" thickBot="1" x14ac:dyDescent="0.25">
      <c r="A221" s="823" t="s">
        <v>46</v>
      </c>
      <c r="B221" s="824" t="s">
        <v>47</v>
      </c>
      <c r="C221" s="825">
        <v>2022</v>
      </c>
      <c r="D221" s="826"/>
      <c r="E221" s="826"/>
      <c r="F221" s="457">
        <v>2023</v>
      </c>
    </row>
    <row r="222" spans="1:6" ht="21.75" customHeight="1" thickBot="1" x14ac:dyDescent="0.25">
      <c r="A222" s="823"/>
      <c r="B222" s="824"/>
      <c r="C222" s="149" t="s">
        <v>48</v>
      </c>
      <c r="D222" s="149" t="s">
        <v>509</v>
      </c>
      <c r="E222" s="149" t="s">
        <v>384</v>
      </c>
      <c r="F222" s="456" t="s">
        <v>510</v>
      </c>
    </row>
    <row r="223" spans="1:6" ht="21.75" customHeight="1" x14ac:dyDescent="0.2">
      <c r="A223" s="327" t="s">
        <v>170</v>
      </c>
      <c r="B223" s="151" t="s">
        <v>171</v>
      </c>
      <c r="C223" s="152">
        <v>0</v>
      </c>
      <c r="D223" s="152">
        <v>0</v>
      </c>
      <c r="E223" s="106">
        <v>0</v>
      </c>
      <c r="F223" s="640">
        <v>0</v>
      </c>
    </row>
    <row r="224" spans="1:6" ht="21.75" customHeight="1" thickBot="1" x14ac:dyDescent="0.25">
      <c r="A224" s="91" t="s">
        <v>213</v>
      </c>
      <c r="B224" s="92" t="s">
        <v>608</v>
      </c>
      <c r="C224" s="95">
        <v>0</v>
      </c>
      <c r="D224" s="95">
        <v>0</v>
      </c>
      <c r="E224" s="95">
        <v>0</v>
      </c>
      <c r="F224" s="641">
        <v>0</v>
      </c>
    </row>
    <row r="225" spans="1:14" ht="21.75" customHeight="1" thickBot="1" x14ac:dyDescent="0.25">
      <c r="A225" s="821" t="s">
        <v>279</v>
      </c>
      <c r="B225" s="821"/>
      <c r="C225" s="93">
        <f>SUM(C223:C224)</f>
        <v>0</v>
      </c>
      <c r="D225" s="93">
        <v>0</v>
      </c>
      <c r="E225" s="93">
        <v>0</v>
      </c>
      <c r="F225" s="642">
        <f>SUM(F223:F224)</f>
        <v>0</v>
      </c>
    </row>
    <row r="226" spans="1:14" ht="26.25" customHeight="1" thickBot="1" x14ac:dyDescent="0.25">
      <c r="A226" s="805" t="s">
        <v>431</v>
      </c>
      <c r="B226" s="805"/>
      <c r="C226" s="805"/>
      <c r="D226" s="805"/>
      <c r="E226" s="805"/>
      <c r="F226" s="805"/>
    </row>
    <row r="227" spans="1:14" ht="19.5" customHeight="1" thickBot="1" x14ac:dyDescent="0.25">
      <c r="A227" s="823" t="s">
        <v>46</v>
      </c>
      <c r="B227" s="824" t="s">
        <v>47</v>
      </c>
      <c r="C227" s="825">
        <v>2022</v>
      </c>
      <c r="D227" s="826"/>
      <c r="E227" s="826"/>
      <c r="F227" s="457">
        <v>2023</v>
      </c>
    </row>
    <row r="228" spans="1:14" ht="27" customHeight="1" thickBot="1" x14ac:dyDescent="0.25">
      <c r="A228" s="823"/>
      <c r="B228" s="824"/>
      <c r="C228" s="149" t="s">
        <v>48</v>
      </c>
      <c r="D228" s="149" t="s">
        <v>509</v>
      </c>
      <c r="E228" s="149" t="s">
        <v>384</v>
      </c>
      <c r="F228" s="456" t="s">
        <v>510</v>
      </c>
    </row>
    <row r="229" spans="1:14" ht="21" x14ac:dyDescent="0.2">
      <c r="A229" s="114" t="s">
        <v>154</v>
      </c>
      <c r="B229" s="87" t="s">
        <v>155</v>
      </c>
      <c r="C229" s="112">
        <v>0</v>
      </c>
      <c r="D229" s="112">
        <f t="shared" ref="D229:D236" si="21">F229-C229</f>
        <v>0</v>
      </c>
      <c r="E229" s="197">
        <v>0</v>
      </c>
      <c r="F229" s="113">
        <f>'Kiadások részletes COFOG'!F371</f>
        <v>0</v>
      </c>
    </row>
    <row r="230" spans="1:14" ht="15.95" customHeight="1" x14ac:dyDescent="0.2">
      <c r="A230" s="114" t="s">
        <v>158</v>
      </c>
      <c r="B230" s="87" t="s">
        <v>159</v>
      </c>
      <c r="C230" s="106">
        <v>0</v>
      </c>
      <c r="D230" s="112">
        <f t="shared" si="21"/>
        <v>0</v>
      </c>
      <c r="E230" s="197">
        <v>0</v>
      </c>
      <c r="F230" s="107">
        <f>'Kiadások részletes COFOG'!F372</f>
        <v>0</v>
      </c>
      <c r="H230" s="158"/>
      <c r="I230" s="39"/>
      <c r="J230" s="39"/>
      <c r="K230" s="39"/>
      <c r="L230" s="39"/>
      <c r="M230" s="39"/>
      <c r="N230" s="39"/>
    </row>
    <row r="231" spans="1:14" ht="15.95" customHeight="1" x14ac:dyDescent="0.2">
      <c r="A231" s="114" t="s">
        <v>160</v>
      </c>
      <c r="B231" s="87" t="s">
        <v>161</v>
      </c>
      <c r="C231" s="106">
        <v>0</v>
      </c>
      <c r="D231" s="112">
        <f t="shared" si="21"/>
        <v>0</v>
      </c>
      <c r="E231" s="197">
        <v>0</v>
      </c>
      <c r="F231" s="107">
        <v>0</v>
      </c>
    </row>
    <row r="232" spans="1:14" ht="15.95" customHeight="1" x14ac:dyDescent="0.2">
      <c r="A232" s="114" t="s">
        <v>170</v>
      </c>
      <c r="B232" s="87" t="s">
        <v>171</v>
      </c>
      <c r="C232" s="106">
        <v>0</v>
      </c>
      <c r="D232" s="112">
        <f t="shared" si="21"/>
        <v>0</v>
      </c>
      <c r="E232" s="197">
        <v>0</v>
      </c>
      <c r="F232" s="107">
        <f>'Kiadások részletes COFOG'!F373</f>
        <v>0</v>
      </c>
      <c r="N232" s="77"/>
    </row>
    <row r="233" spans="1:14" ht="15.95" customHeight="1" x14ac:dyDescent="0.2">
      <c r="A233" s="114" t="s">
        <v>205</v>
      </c>
      <c r="B233" s="87" t="s">
        <v>206</v>
      </c>
      <c r="C233" s="106">
        <v>0</v>
      </c>
      <c r="D233" s="112">
        <f t="shared" si="21"/>
        <v>0</v>
      </c>
      <c r="E233" s="197">
        <v>0</v>
      </c>
      <c r="F233" s="107">
        <f>'Kiadások részletes COFOG'!F374</f>
        <v>0</v>
      </c>
    </row>
    <row r="234" spans="1:14" ht="21" customHeight="1" x14ac:dyDescent="0.2">
      <c r="A234" s="114" t="s">
        <v>213</v>
      </c>
      <c r="B234" s="87" t="s">
        <v>271</v>
      </c>
      <c r="C234" s="106">
        <v>0</v>
      </c>
      <c r="D234" s="112">
        <f t="shared" si="21"/>
        <v>0</v>
      </c>
      <c r="E234" s="197">
        <v>0</v>
      </c>
      <c r="F234" s="107">
        <f>'Kiadások részletes COFOG'!F375</f>
        <v>0</v>
      </c>
      <c r="K234" s="77"/>
    </row>
    <row r="235" spans="1:14" ht="20.25" customHeight="1" x14ac:dyDescent="0.2">
      <c r="A235" s="114" t="s">
        <v>247</v>
      </c>
      <c r="B235" s="87" t="s">
        <v>482</v>
      </c>
      <c r="C235" s="106">
        <v>0</v>
      </c>
      <c r="D235" s="112">
        <f t="shared" si="21"/>
        <v>0</v>
      </c>
      <c r="E235" s="197">
        <v>0</v>
      </c>
      <c r="F235" s="107">
        <f>'Kiadások részletes COFOG'!F376</f>
        <v>0</v>
      </c>
      <c r="K235" s="77"/>
    </row>
    <row r="236" spans="1:14" ht="21" customHeight="1" thickBot="1" x14ac:dyDescent="0.25">
      <c r="A236" s="101" t="s">
        <v>249</v>
      </c>
      <c r="B236" s="92" t="s">
        <v>276</v>
      </c>
      <c r="C236" s="389">
        <v>0</v>
      </c>
      <c r="D236" s="112">
        <f t="shared" si="21"/>
        <v>0</v>
      </c>
      <c r="E236" s="197">
        <v>0</v>
      </c>
      <c r="F236" s="390">
        <f>'Kiadások részletes COFOG'!F378</f>
        <v>0</v>
      </c>
      <c r="K236" s="77"/>
    </row>
    <row r="237" spans="1:14" ht="18.75" customHeight="1" thickBot="1" x14ac:dyDescent="0.25">
      <c r="A237" s="821" t="s">
        <v>279</v>
      </c>
      <c r="B237" s="821"/>
      <c r="C237" s="93">
        <f>SUM(C229:C236)</f>
        <v>0</v>
      </c>
      <c r="D237" s="93">
        <f>SUM(D229:D236)</f>
        <v>0</v>
      </c>
      <c r="E237" s="311">
        <v>0</v>
      </c>
      <c r="F237" s="94">
        <f>SUM(F229:F236)</f>
        <v>0</v>
      </c>
    </row>
    <row r="238" spans="1:14" ht="24" customHeight="1" thickBot="1" x14ac:dyDescent="0.25">
      <c r="A238" s="805" t="s">
        <v>295</v>
      </c>
      <c r="B238" s="805"/>
      <c r="C238" s="805"/>
      <c r="D238" s="805"/>
      <c r="E238" s="805"/>
      <c r="F238" s="805"/>
    </row>
    <row r="239" spans="1:14" ht="21" customHeight="1" thickBot="1" x14ac:dyDescent="0.25">
      <c r="A239" s="823" t="s">
        <v>46</v>
      </c>
      <c r="B239" s="824" t="s">
        <v>47</v>
      </c>
      <c r="C239" s="825">
        <v>2022</v>
      </c>
      <c r="D239" s="826"/>
      <c r="E239" s="826"/>
      <c r="F239" s="457">
        <v>2023</v>
      </c>
    </row>
    <row r="240" spans="1:14" ht="24" customHeight="1" thickBot="1" x14ac:dyDescent="0.25">
      <c r="A240" s="823"/>
      <c r="B240" s="824"/>
      <c r="C240" s="149" t="s">
        <v>48</v>
      </c>
      <c r="D240" s="149" t="s">
        <v>509</v>
      </c>
      <c r="E240" s="149" t="s">
        <v>384</v>
      </c>
      <c r="F240" s="456" t="s">
        <v>510</v>
      </c>
    </row>
    <row r="241" spans="1:16" ht="26.25" customHeight="1" thickBot="1" x14ac:dyDescent="0.25">
      <c r="A241" s="178" t="s">
        <v>239</v>
      </c>
      <c r="B241" s="105" t="s">
        <v>434</v>
      </c>
      <c r="C241" s="330">
        <v>5330000</v>
      </c>
      <c r="D241" s="330">
        <f>F241-C241</f>
        <v>959700</v>
      </c>
      <c r="E241" s="259">
        <f>F241/C241*100</f>
        <v>118.00562851782364</v>
      </c>
      <c r="F241" s="177">
        <f>'Kiadások részletes COFOG'!F402</f>
        <v>6289700</v>
      </c>
      <c r="G241" s="156"/>
    </row>
    <row r="242" spans="1:16" ht="24" customHeight="1" thickBot="1" x14ac:dyDescent="0.25">
      <c r="A242" s="821" t="s">
        <v>279</v>
      </c>
      <c r="B242" s="821"/>
      <c r="C242" s="93">
        <f>SUM(C241)</f>
        <v>5330000</v>
      </c>
      <c r="D242" s="93">
        <f>SUM(D241)</f>
        <v>959700</v>
      </c>
      <c r="E242" s="314">
        <f>F242/C242*100</f>
        <v>118.00562851782364</v>
      </c>
      <c r="F242" s="94">
        <f>SUM(F241)</f>
        <v>6289700</v>
      </c>
    </row>
    <row r="243" spans="1:16" ht="24.75" customHeight="1" thickBot="1" x14ac:dyDescent="0.25">
      <c r="A243" s="805" t="s">
        <v>137</v>
      </c>
      <c r="B243" s="805"/>
      <c r="C243" s="805"/>
      <c r="D243" s="805"/>
      <c r="E243" s="805"/>
      <c r="F243" s="805"/>
    </row>
    <row r="244" spans="1:16" ht="21.75" customHeight="1" thickBot="1" x14ac:dyDescent="0.25">
      <c r="A244" s="823" t="s">
        <v>46</v>
      </c>
      <c r="B244" s="824" t="s">
        <v>47</v>
      </c>
      <c r="C244" s="825">
        <v>2022</v>
      </c>
      <c r="D244" s="826"/>
      <c r="E244" s="826"/>
      <c r="F244" s="457">
        <v>2023</v>
      </c>
      <c r="M244" s="39"/>
      <c r="N244" s="39"/>
      <c r="O244" s="39"/>
      <c r="P244" s="39"/>
    </row>
    <row r="245" spans="1:16" ht="24.75" customHeight="1" thickBot="1" x14ac:dyDescent="0.25">
      <c r="A245" s="823"/>
      <c r="B245" s="824"/>
      <c r="C245" s="149" t="s">
        <v>48</v>
      </c>
      <c r="D245" s="149" t="s">
        <v>509</v>
      </c>
      <c r="E245" s="149" t="s">
        <v>384</v>
      </c>
      <c r="F245" s="456" t="s">
        <v>510</v>
      </c>
      <c r="O245" s="179"/>
    </row>
    <row r="246" spans="1:16" ht="15.95" customHeight="1" x14ac:dyDescent="0.2">
      <c r="A246" s="114" t="s">
        <v>142</v>
      </c>
      <c r="B246" s="87" t="s">
        <v>143</v>
      </c>
      <c r="C246" s="106">
        <v>6050000</v>
      </c>
      <c r="D246" s="106">
        <f t="shared" ref="D246:D261" si="22">F246-C246</f>
        <v>850000</v>
      </c>
      <c r="E246" s="197">
        <f>F246/C246*100</f>
        <v>114.0495867768595</v>
      </c>
      <c r="F246" s="107">
        <f>'Kiadások részletes COFOG'!F411</f>
        <v>6900000</v>
      </c>
      <c r="L246" s="77"/>
      <c r="O246" s="180"/>
    </row>
    <row r="247" spans="1:16" ht="15.95" customHeight="1" x14ac:dyDescent="0.2">
      <c r="A247" s="114" t="s">
        <v>424</v>
      </c>
      <c r="B247" s="87" t="s">
        <v>425</v>
      </c>
      <c r="C247" s="106">
        <v>100000</v>
      </c>
      <c r="D247" s="106">
        <f t="shared" si="22"/>
        <v>50000</v>
      </c>
      <c r="E247" s="197">
        <f>F247/C247*100</f>
        <v>150</v>
      </c>
      <c r="F247" s="107">
        <f>'Kiadások részletes COFOG'!F412</f>
        <v>150000</v>
      </c>
      <c r="O247" s="180"/>
    </row>
    <row r="248" spans="1:16" ht="18.75" customHeight="1" x14ac:dyDescent="0.2">
      <c r="A248" s="114" t="s">
        <v>148</v>
      </c>
      <c r="B248" s="87" t="s">
        <v>149</v>
      </c>
      <c r="C248" s="106">
        <v>12000</v>
      </c>
      <c r="D248" s="106">
        <f t="shared" si="22"/>
        <v>-12000</v>
      </c>
      <c r="E248" s="197">
        <f>F248/C248*100</f>
        <v>0</v>
      </c>
      <c r="F248" s="107">
        <f>'Kiadások részletes COFOG'!F415</f>
        <v>0</v>
      </c>
    </row>
    <row r="249" spans="1:16" ht="18.75" customHeight="1" x14ac:dyDescent="0.2">
      <c r="A249" s="114" t="s">
        <v>150</v>
      </c>
      <c r="B249" s="87" t="s">
        <v>151</v>
      </c>
      <c r="C249" s="106">
        <v>0</v>
      </c>
      <c r="D249" s="106">
        <f t="shared" si="22"/>
        <v>160000</v>
      </c>
      <c r="E249" s="197">
        <v>0</v>
      </c>
      <c r="F249" s="107">
        <f>SUM('Kiadások részletes COFOG'!F416)</f>
        <v>160000</v>
      </c>
    </row>
    <row r="250" spans="1:16" ht="15.95" customHeight="1" x14ac:dyDescent="0.2">
      <c r="A250" s="114" t="s">
        <v>158</v>
      </c>
      <c r="B250" s="87" t="s">
        <v>159</v>
      </c>
      <c r="C250" s="106">
        <v>880000</v>
      </c>
      <c r="D250" s="106">
        <f t="shared" si="22"/>
        <v>220000</v>
      </c>
      <c r="E250" s="197">
        <f>F250/C250*100</f>
        <v>125</v>
      </c>
      <c r="F250" s="107">
        <f>'Kiadások részletes COFOG'!F425</f>
        <v>1100000</v>
      </c>
      <c r="K250" s="77"/>
      <c r="L250" s="77"/>
      <c r="O250" s="180"/>
    </row>
    <row r="251" spans="1:16" ht="15.95" customHeight="1" x14ac:dyDescent="0.2">
      <c r="A251" s="114" t="s">
        <v>170</v>
      </c>
      <c r="B251" s="87" t="s">
        <v>171</v>
      </c>
      <c r="C251" s="112">
        <v>960000</v>
      </c>
      <c r="D251" s="106">
        <f t="shared" si="22"/>
        <v>300000</v>
      </c>
      <c r="E251" s="197">
        <f>F251/C251*100</f>
        <v>131.25</v>
      </c>
      <c r="F251" s="113">
        <f>'Kiadások részletes COFOG'!F431</f>
        <v>1260000</v>
      </c>
      <c r="M251" s="181"/>
      <c r="N251" s="39"/>
      <c r="O251" s="182"/>
    </row>
    <row r="252" spans="1:16" ht="15.95" customHeight="1" x14ac:dyDescent="0.2">
      <c r="A252" s="114" t="s">
        <v>609</v>
      </c>
      <c r="B252" s="87" t="s">
        <v>288</v>
      </c>
      <c r="C252" s="112"/>
      <c r="D252" s="106">
        <f t="shared" si="22"/>
        <v>300000</v>
      </c>
      <c r="E252" s="197"/>
      <c r="F252" s="113">
        <f>SUM('Kiadások részletes COFOG'!F432)</f>
        <v>300000</v>
      </c>
      <c r="M252" s="181"/>
      <c r="N252" s="39"/>
      <c r="O252" s="182"/>
    </row>
    <row r="253" spans="1:16" ht="15.95" customHeight="1" x14ac:dyDescent="0.2">
      <c r="A253" s="114" t="s">
        <v>195</v>
      </c>
      <c r="B253" s="87" t="s">
        <v>196</v>
      </c>
      <c r="C253" s="112">
        <v>10000000</v>
      </c>
      <c r="D253" s="106">
        <f t="shared" si="22"/>
        <v>8000000</v>
      </c>
      <c r="E253" s="197">
        <f>F253/C253*100</f>
        <v>180</v>
      </c>
      <c r="F253" s="113">
        <f>'Kiadások részletes COFOG'!F433</f>
        <v>18000000</v>
      </c>
      <c r="G253" s="156"/>
    </row>
    <row r="254" spans="1:16" ht="15.95" customHeight="1" x14ac:dyDescent="0.2">
      <c r="A254" s="114" t="s">
        <v>199</v>
      </c>
      <c r="B254" s="87" t="s">
        <v>200</v>
      </c>
      <c r="C254" s="112">
        <v>370000</v>
      </c>
      <c r="D254" s="106">
        <f t="shared" si="22"/>
        <v>-70000</v>
      </c>
      <c r="E254" s="197"/>
      <c r="F254" s="113">
        <f>('Kiadások részletes COFOG'!F434)</f>
        <v>300000</v>
      </c>
      <c r="G254" s="156"/>
    </row>
    <row r="255" spans="1:16" ht="15.95" customHeight="1" x14ac:dyDescent="0.2">
      <c r="A255" s="114" t="s">
        <v>201</v>
      </c>
      <c r="B255" s="87" t="s">
        <v>202</v>
      </c>
      <c r="C255" s="112">
        <v>20000</v>
      </c>
      <c r="D255" s="106">
        <f t="shared" si="22"/>
        <v>5000</v>
      </c>
      <c r="E255" s="197">
        <f>F255/C255*100</f>
        <v>125</v>
      </c>
      <c r="F255" s="113">
        <f>'Kiadások részletes COFOG'!F438</f>
        <v>25000</v>
      </c>
      <c r="G255" s="156"/>
    </row>
    <row r="256" spans="1:16" ht="15.95" customHeight="1" x14ac:dyDescent="0.2">
      <c r="A256" s="114" t="s">
        <v>205</v>
      </c>
      <c r="B256" s="87" t="s">
        <v>409</v>
      </c>
      <c r="C256" s="112">
        <v>90000</v>
      </c>
      <c r="D256" s="106">
        <f t="shared" si="22"/>
        <v>-40000</v>
      </c>
      <c r="E256" s="197">
        <f>F256/C256*100</f>
        <v>55.555555555555557</v>
      </c>
      <c r="F256" s="113">
        <f>'Kiadások részletes COFOG'!F440</f>
        <v>50000</v>
      </c>
    </row>
    <row r="257" spans="1:15" ht="21.75" customHeight="1" x14ac:dyDescent="0.2">
      <c r="A257" s="114" t="s">
        <v>213</v>
      </c>
      <c r="B257" s="87" t="s">
        <v>271</v>
      </c>
      <c r="C257" s="112">
        <v>3070000</v>
      </c>
      <c r="D257" s="106">
        <f t="shared" si="22"/>
        <v>2280000</v>
      </c>
      <c r="E257" s="197">
        <f>F257/C257*100</f>
        <v>174.26710097719871</v>
      </c>
      <c r="F257" s="113">
        <f>'Kiadások részletes COFOG'!F441</f>
        <v>5350000</v>
      </c>
    </row>
    <row r="258" spans="1:15" ht="18" customHeight="1" x14ac:dyDescent="0.2">
      <c r="A258" s="91" t="s">
        <v>247</v>
      </c>
      <c r="B258" s="92" t="s">
        <v>351</v>
      </c>
      <c r="C258" s="183">
        <v>0</v>
      </c>
      <c r="D258" s="106">
        <f t="shared" si="22"/>
        <v>0</v>
      </c>
      <c r="E258" s="197"/>
      <c r="F258" s="184">
        <f>'Kiadások részletes COFOG'!F443</f>
        <v>0</v>
      </c>
    </row>
    <row r="259" spans="1:15" ht="21.75" customHeight="1" x14ac:dyDescent="0.2">
      <c r="A259" s="91" t="s">
        <v>249</v>
      </c>
      <c r="B259" s="92" t="s">
        <v>276</v>
      </c>
      <c r="C259" s="183">
        <v>0</v>
      </c>
      <c r="D259" s="106">
        <f t="shared" si="22"/>
        <v>0</v>
      </c>
      <c r="E259" s="197"/>
      <c r="F259" s="184">
        <f>'Kiadások részletes COFOG'!F444</f>
        <v>0</v>
      </c>
    </row>
    <row r="260" spans="1:15" ht="21.75" customHeight="1" x14ac:dyDescent="0.2">
      <c r="A260" s="91" t="s">
        <v>297</v>
      </c>
      <c r="B260" s="92" t="s">
        <v>252</v>
      </c>
      <c r="C260" s="183">
        <v>0</v>
      </c>
      <c r="D260" s="106">
        <f t="shared" si="22"/>
        <v>0</v>
      </c>
      <c r="E260" s="197"/>
      <c r="F260" s="184">
        <f>'Kiadások részletes COFOG'!F445</f>
        <v>0</v>
      </c>
    </row>
    <row r="261" spans="1:15" ht="22.5" customHeight="1" thickBot="1" x14ac:dyDescent="0.25">
      <c r="A261" s="91" t="s">
        <v>298</v>
      </c>
      <c r="B261" s="92" t="s">
        <v>277</v>
      </c>
      <c r="C261" s="183">
        <v>0</v>
      </c>
      <c r="D261" s="106">
        <f t="shared" si="22"/>
        <v>0</v>
      </c>
      <c r="E261" s="197"/>
      <c r="F261" s="184">
        <f>'Kiadások részletes COFOG'!F446</f>
        <v>0</v>
      </c>
      <c r="G261" s="39"/>
      <c r="H261" s="158"/>
      <c r="I261" s="39"/>
      <c r="J261" s="39"/>
      <c r="K261" s="39"/>
      <c r="L261" s="39"/>
      <c r="M261" s="39"/>
      <c r="N261" s="39"/>
      <c r="O261" s="39"/>
    </row>
    <row r="262" spans="1:15" ht="23.25" customHeight="1" thickBot="1" x14ac:dyDescent="0.25">
      <c r="A262" s="821" t="s">
        <v>279</v>
      </c>
      <c r="B262" s="821"/>
      <c r="C262" s="185">
        <f>SUM(C246:C261)</f>
        <v>21552000</v>
      </c>
      <c r="D262" s="185">
        <f>SUM(D246:D261)</f>
        <v>12043000</v>
      </c>
      <c r="E262" s="315">
        <f>F262/C262*100</f>
        <v>155.87880475129919</v>
      </c>
      <c r="F262" s="186">
        <f>SUM(F246:F261)</f>
        <v>33595000</v>
      </c>
    </row>
    <row r="263" spans="1:15" ht="24" customHeight="1" thickBot="1" x14ac:dyDescent="0.25">
      <c r="A263" s="805" t="s">
        <v>602</v>
      </c>
      <c r="B263" s="805"/>
      <c r="C263" s="805"/>
      <c r="D263" s="805"/>
      <c r="E263" s="805"/>
      <c r="F263" s="805"/>
    </row>
    <row r="264" spans="1:15" ht="24" customHeight="1" thickBot="1" x14ac:dyDescent="0.25">
      <c r="A264" s="823" t="s">
        <v>46</v>
      </c>
      <c r="B264" s="824" t="s">
        <v>47</v>
      </c>
      <c r="C264" s="825">
        <v>2022</v>
      </c>
      <c r="D264" s="826"/>
      <c r="E264" s="826"/>
      <c r="F264" s="457">
        <v>2023</v>
      </c>
    </row>
    <row r="265" spans="1:15" ht="24" customHeight="1" thickBot="1" x14ac:dyDescent="0.25">
      <c r="A265" s="823"/>
      <c r="B265" s="824"/>
      <c r="C265" s="149" t="s">
        <v>48</v>
      </c>
      <c r="D265" s="149" t="s">
        <v>509</v>
      </c>
      <c r="E265" s="149" t="s">
        <v>384</v>
      </c>
      <c r="F265" s="456" t="s">
        <v>510</v>
      </c>
    </row>
    <row r="266" spans="1:15" ht="24" customHeight="1" x14ac:dyDescent="0.2">
      <c r="A266" s="91" t="s">
        <v>170</v>
      </c>
      <c r="B266" s="92" t="s">
        <v>171</v>
      </c>
      <c r="C266" s="95">
        <v>0</v>
      </c>
      <c r="D266" s="95">
        <v>0</v>
      </c>
      <c r="E266" s="227">
        <v>0</v>
      </c>
      <c r="F266" s="96">
        <v>0</v>
      </c>
    </row>
    <row r="267" spans="1:15" ht="24" customHeight="1" x14ac:dyDescent="0.2">
      <c r="A267" s="91" t="s">
        <v>195</v>
      </c>
      <c r="B267" s="92" t="s">
        <v>196</v>
      </c>
      <c r="C267" s="95">
        <v>0</v>
      </c>
      <c r="D267" s="95">
        <v>0</v>
      </c>
      <c r="E267" s="227">
        <v>0</v>
      </c>
      <c r="F267" s="96">
        <v>0</v>
      </c>
    </row>
    <row r="268" spans="1:15" ht="24" customHeight="1" x14ac:dyDescent="0.2">
      <c r="A268" s="91" t="s">
        <v>205</v>
      </c>
      <c r="B268" s="92" t="s">
        <v>206</v>
      </c>
      <c r="C268" s="95">
        <v>0</v>
      </c>
      <c r="D268" s="95">
        <v>0</v>
      </c>
      <c r="E268" s="227">
        <v>0</v>
      </c>
      <c r="F268" s="96">
        <v>0</v>
      </c>
    </row>
    <row r="269" spans="1:15" ht="24" customHeight="1" thickBot="1" x14ac:dyDescent="0.25">
      <c r="A269" s="91" t="s">
        <v>213</v>
      </c>
      <c r="B269" s="92" t="s">
        <v>603</v>
      </c>
      <c r="C269" s="95">
        <v>0</v>
      </c>
      <c r="D269" s="95">
        <v>0</v>
      </c>
      <c r="E269" s="227">
        <v>0</v>
      </c>
      <c r="F269" s="96">
        <v>0</v>
      </c>
    </row>
    <row r="270" spans="1:15" ht="24" customHeight="1" thickBot="1" x14ac:dyDescent="0.25">
      <c r="A270" s="821" t="s">
        <v>279</v>
      </c>
      <c r="B270" s="821"/>
      <c r="C270" s="93">
        <f>SUM(C266:C269)</f>
        <v>0</v>
      </c>
      <c r="D270" s="93">
        <v>0</v>
      </c>
      <c r="E270" s="311">
        <v>0</v>
      </c>
      <c r="F270" s="94">
        <v>0</v>
      </c>
    </row>
    <row r="271" spans="1:15" ht="26.25" customHeight="1" thickBot="1" x14ac:dyDescent="0.25">
      <c r="A271" s="805" t="s">
        <v>452</v>
      </c>
      <c r="B271" s="805"/>
      <c r="C271" s="805"/>
      <c r="D271" s="805"/>
      <c r="E271" s="805"/>
      <c r="F271" s="805"/>
    </row>
    <row r="272" spans="1:15" ht="17.25" customHeight="1" thickBot="1" x14ac:dyDescent="0.25">
      <c r="A272" s="823" t="s">
        <v>46</v>
      </c>
      <c r="B272" s="824" t="s">
        <v>47</v>
      </c>
      <c r="C272" s="825">
        <v>2022</v>
      </c>
      <c r="D272" s="826"/>
      <c r="E272" s="826"/>
      <c r="F272" s="457">
        <v>2023</v>
      </c>
    </row>
    <row r="273" spans="1:6" ht="25.5" customHeight="1" thickBot="1" x14ac:dyDescent="0.25">
      <c r="A273" s="823"/>
      <c r="B273" s="824"/>
      <c r="C273" s="149" t="s">
        <v>48</v>
      </c>
      <c r="D273" s="149" t="s">
        <v>509</v>
      </c>
      <c r="E273" s="149" t="s">
        <v>384</v>
      </c>
      <c r="F273" s="456" t="s">
        <v>510</v>
      </c>
    </row>
    <row r="274" spans="1:6" ht="21" customHeight="1" x14ac:dyDescent="0.2">
      <c r="A274" s="91" t="s">
        <v>195</v>
      </c>
      <c r="B274" s="92" t="s">
        <v>453</v>
      </c>
      <c r="C274" s="95">
        <v>1300000</v>
      </c>
      <c r="D274" s="95">
        <f>F274-C274</f>
        <v>500000</v>
      </c>
      <c r="E274" s="227">
        <f>F274/C274*100</f>
        <v>138.46153846153845</v>
      </c>
      <c r="F274" s="96">
        <f>'Kiadások részletes COFOG'!F456</f>
        <v>1800000</v>
      </c>
    </row>
    <row r="275" spans="1:6" ht="21" customHeight="1" thickBot="1" x14ac:dyDescent="0.25">
      <c r="A275" s="91" t="s">
        <v>213</v>
      </c>
      <c r="B275" s="159" t="s">
        <v>271</v>
      </c>
      <c r="C275" s="95">
        <v>351000</v>
      </c>
      <c r="D275" s="95">
        <f>F275-C275</f>
        <v>135000</v>
      </c>
      <c r="E275" s="227">
        <f>F275/C275*100</f>
        <v>138.46153846153845</v>
      </c>
      <c r="F275" s="96">
        <f>'Kiadások részletes COFOG'!F457</f>
        <v>486000</v>
      </c>
    </row>
    <row r="276" spans="1:6" ht="19.5" customHeight="1" thickBot="1" x14ac:dyDescent="0.25">
      <c r="A276" s="821" t="s">
        <v>279</v>
      </c>
      <c r="B276" s="821"/>
      <c r="C276" s="93">
        <f>SUM(C274:C275)</f>
        <v>1651000</v>
      </c>
      <c r="D276" s="93">
        <f>D274+D275</f>
        <v>635000</v>
      </c>
      <c r="E276" s="311">
        <f>F276/C276*100</f>
        <v>138.46153846153845</v>
      </c>
      <c r="F276" s="94">
        <f>F274+F275</f>
        <v>2286000</v>
      </c>
    </row>
    <row r="277" spans="1:6" ht="22.5" hidden="1" customHeight="1" thickBot="1" x14ac:dyDescent="0.25">
      <c r="A277" s="805" t="s">
        <v>299</v>
      </c>
      <c r="B277" s="805"/>
      <c r="C277" s="805"/>
      <c r="D277" s="805"/>
      <c r="E277" s="805"/>
      <c r="F277" s="805"/>
    </row>
    <row r="278" spans="1:6" ht="19.5" hidden="1" customHeight="1" thickBot="1" x14ac:dyDescent="0.25">
      <c r="A278" s="823" t="s">
        <v>46</v>
      </c>
      <c r="B278" s="824" t="s">
        <v>47</v>
      </c>
      <c r="C278" s="825">
        <v>2021</v>
      </c>
      <c r="D278" s="826"/>
      <c r="E278" s="826"/>
      <c r="F278" s="457">
        <v>2022</v>
      </c>
    </row>
    <row r="279" spans="1:6" ht="21.75" hidden="1" customHeight="1" thickBot="1" x14ac:dyDescent="0.25">
      <c r="A279" s="823"/>
      <c r="B279" s="824"/>
      <c r="C279" s="149" t="s">
        <v>48</v>
      </c>
      <c r="D279" s="149" t="s">
        <v>509</v>
      </c>
      <c r="E279" s="149" t="s">
        <v>384</v>
      </c>
      <c r="F279" s="456" t="s">
        <v>510</v>
      </c>
    </row>
    <row r="280" spans="1:6" ht="19.5" hidden="1" customHeight="1" x14ac:dyDescent="0.2">
      <c r="A280" s="154" t="s">
        <v>195</v>
      </c>
      <c r="B280" s="188" t="s">
        <v>196</v>
      </c>
      <c r="C280" s="106">
        <v>0</v>
      </c>
      <c r="D280" s="106">
        <v>0</v>
      </c>
      <c r="E280" s="197">
        <v>0</v>
      </c>
      <c r="F280" s="107">
        <f>'Kiadások részletes COFOG'!F467</f>
        <v>0</v>
      </c>
    </row>
    <row r="281" spans="1:6" ht="21.75" hidden="1" thickBot="1" x14ac:dyDescent="0.25">
      <c r="A281" s="154" t="s">
        <v>213</v>
      </c>
      <c r="B281" s="188" t="s">
        <v>271</v>
      </c>
      <c r="C281" s="106">
        <v>0</v>
      </c>
      <c r="D281" s="106">
        <v>0</v>
      </c>
      <c r="E281" s="197">
        <v>0</v>
      </c>
      <c r="F281" s="107">
        <f>'Kiadások részletes COFOG'!F468</f>
        <v>0</v>
      </c>
    </row>
    <row r="282" spans="1:6" ht="19.5" hidden="1" customHeight="1" thickBot="1" x14ac:dyDescent="0.25">
      <c r="A282" s="821" t="s">
        <v>279</v>
      </c>
      <c r="B282" s="821"/>
      <c r="C282" s="93">
        <f>SUM(C280:C281)</f>
        <v>0</v>
      </c>
      <c r="D282" s="93">
        <f>SUM(D280:D281)</f>
        <v>0</v>
      </c>
      <c r="E282" s="311">
        <v>0</v>
      </c>
      <c r="F282" s="94">
        <f>SUM(F280:F281)</f>
        <v>0</v>
      </c>
    </row>
    <row r="283" spans="1:6" ht="23.25" hidden="1" customHeight="1" thickBot="1" x14ac:dyDescent="0.25">
      <c r="A283" s="805" t="s">
        <v>139</v>
      </c>
      <c r="B283" s="805"/>
      <c r="C283" s="805"/>
      <c r="D283" s="805"/>
      <c r="E283" s="805"/>
      <c r="F283" s="805"/>
    </row>
    <row r="284" spans="1:6" ht="16.5" hidden="1" customHeight="1" thickBot="1" x14ac:dyDescent="0.25">
      <c r="A284" s="823" t="s">
        <v>46</v>
      </c>
      <c r="B284" s="824" t="s">
        <v>47</v>
      </c>
      <c r="C284" s="825">
        <v>2021</v>
      </c>
      <c r="D284" s="826"/>
      <c r="E284" s="826"/>
      <c r="F284" s="457">
        <v>2022</v>
      </c>
    </row>
    <row r="285" spans="1:6" ht="25.5" hidden="1" customHeight="1" thickBot="1" x14ac:dyDescent="0.25">
      <c r="A285" s="823"/>
      <c r="B285" s="824"/>
      <c r="C285" s="149" t="s">
        <v>48</v>
      </c>
      <c r="D285" s="149" t="s">
        <v>509</v>
      </c>
      <c r="E285" s="149" t="s">
        <v>384</v>
      </c>
      <c r="F285" s="456" t="s">
        <v>510</v>
      </c>
    </row>
    <row r="286" spans="1:6" ht="25.5" hidden="1" customHeight="1" thickBot="1" x14ac:dyDescent="0.25">
      <c r="A286" s="161" t="s">
        <v>221</v>
      </c>
      <c r="B286" s="162" t="s">
        <v>300</v>
      </c>
      <c r="C286" s="276">
        <v>0</v>
      </c>
      <c r="D286" s="163">
        <f>F286-C286</f>
        <v>0</v>
      </c>
      <c r="E286" s="227">
        <v>0</v>
      </c>
      <c r="F286" s="189">
        <f>'Kiadások részletes COFOG'!F462</f>
        <v>0</v>
      </c>
    </row>
    <row r="287" spans="1:6" ht="21" hidden="1" customHeight="1" thickBot="1" x14ac:dyDescent="0.25">
      <c r="A287" s="821" t="s">
        <v>279</v>
      </c>
      <c r="B287" s="821"/>
      <c r="C287" s="93">
        <v>0</v>
      </c>
      <c r="D287" s="93">
        <f>SUM(D286:D286)</f>
        <v>0</v>
      </c>
      <c r="E287" s="311">
        <v>0</v>
      </c>
      <c r="F287" s="94">
        <f>SUM(F286:F286)</f>
        <v>0</v>
      </c>
    </row>
    <row r="288" spans="1:6" ht="24.75" customHeight="1" thickBot="1" x14ac:dyDescent="0.25">
      <c r="A288" s="805" t="s">
        <v>454</v>
      </c>
      <c r="B288" s="805"/>
      <c r="C288" s="805"/>
      <c r="D288" s="805"/>
      <c r="E288" s="805"/>
      <c r="F288" s="805"/>
    </row>
    <row r="289" spans="1:12" ht="15.75" customHeight="1" thickBot="1" x14ac:dyDescent="0.25">
      <c r="A289" s="823" t="s">
        <v>46</v>
      </c>
      <c r="B289" s="824" t="s">
        <v>47</v>
      </c>
      <c r="C289" s="825">
        <v>2022</v>
      </c>
      <c r="D289" s="826"/>
      <c r="E289" s="826"/>
      <c r="F289" s="457">
        <v>2023</v>
      </c>
    </row>
    <row r="290" spans="1:12" ht="24" customHeight="1" thickBot="1" x14ac:dyDescent="0.25">
      <c r="A290" s="828"/>
      <c r="B290" s="829"/>
      <c r="C290" s="149" t="s">
        <v>48</v>
      </c>
      <c r="D290" s="149" t="s">
        <v>509</v>
      </c>
      <c r="E290" s="149" t="s">
        <v>384</v>
      </c>
      <c r="F290" s="456" t="s">
        <v>510</v>
      </c>
    </row>
    <row r="291" spans="1:12" ht="24" customHeight="1" x14ac:dyDescent="0.2">
      <c r="A291" s="448" t="s">
        <v>504</v>
      </c>
      <c r="B291" s="446" t="s">
        <v>415</v>
      </c>
      <c r="C291" s="183">
        <v>0</v>
      </c>
      <c r="D291" s="183">
        <f t="shared" ref="D291:D297" si="23">F291-C291</f>
        <v>0</v>
      </c>
      <c r="E291" s="442"/>
      <c r="F291" s="444">
        <f>'Kiadások részletes COFOG'!F473</f>
        <v>0</v>
      </c>
    </row>
    <row r="292" spans="1:12" ht="24" customHeight="1" x14ac:dyDescent="0.2">
      <c r="A292" s="82" t="s">
        <v>424</v>
      </c>
      <c r="B292" s="83" t="s">
        <v>606</v>
      </c>
      <c r="C292" s="183">
        <v>50000</v>
      </c>
      <c r="D292" s="183">
        <f t="shared" si="23"/>
        <v>-50000</v>
      </c>
      <c r="E292" s="649"/>
      <c r="F292" s="650">
        <f>SUM('Kiadások részletes COFOG'!F474)</f>
        <v>0</v>
      </c>
    </row>
    <row r="293" spans="1:12" ht="24" customHeight="1" x14ac:dyDescent="0.2">
      <c r="A293" s="503" t="s">
        <v>148</v>
      </c>
      <c r="B293" s="504" t="s">
        <v>149</v>
      </c>
      <c r="C293" s="183">
        <v>12000</v>
      </c>
      <c r="D293" s="183">
        <f t="shared" si="23"/>
        <v>-12000</v>
      </c>
      <c r="E293" s="564"/>
      <c r="F293" s="565">
        <f>SUM('Kiadások részletes COFOG'!F475)</f>
        <v>0</v>
      </c>
    </row>
    <row r="294" spans="1:12" ht="24" customHeight="1" x14ac:dyDescent="0.2">
      <c r="A294" s="86" t="s">
        <v>154</v>
      </c>
      <c r="B294" s="87" t="s">
        <v>155</v>
      </c>
      <c r="C294" s="112">
        <v>2000000</v>
      </c>
      <c r="D294" s="112">
        <f t="shared" si="23"/>
        <v>-20000</v>
      </c>
      <c r="E294" s="564"/>
      <c r="F294" s="565">
        <f>SUM('Kiadások részletes COFOG'!F476)</f>
        <v>1980000</v>
      </c>
    </row>
    <row r="295" spans="1:12" ht="24" customHeight="1" x14ac:dyDescent="0.2">
      <c r="A295" s="373" t="s">
        <v>348</v>
      </c>
      <c r="B295" s="447" t="s">
        <v>159</v>
      </c>
      <c r="C295" s="716">
        <v>300000</v>
      </c>
      <c r="D295" s="716">
        <f t="shared" si="23"/>
        <v>-40000</v>
      </c>
      <c r="E295" s="443"/>
      <c r="F295" s="445">
        <f>SUM('Kiadások részletes COFOG'!F479:F480)</f>
        <v>260000</v>
      </c>
      <c r="K295" s="77"/>
    </row>
    <row r="296" spans="1:12" ht="24" customHeight="1" x14ac:dyDescent="0.2">
      <c r="A296" s="114" t="s">
        <v>201</v>
      </c>
      <c r="B296" s="87" t="s">
        <v>202</v>
      </c>
      <c r="C296" s="183">
        <v>0</v>
      </c>
      <c r="D296" s="183">
        <f t="shared" si="23"/>
        <v>0</v>
      </c>
      <c r="E296" s="440"/>
      <c r="F296" s="113">
        <f>'Kiadások részletes COFOG'!F481</f>
        <v>0</v>
      </c>
    </row>
    <row r="297" spans="1:12" ht="24.75" customHeight="1" thickBot="1" x14ac:dyDescent="0.25">
      <c r="A297" s="91" t="s">
        <v>231</v>
      </c>
      <c r="B297" s="92" t="s">
        <v>272</v>
      </c>
      <c r="C297" s="183">
        <v>0</v>
      </c>
      <c r="D297" s="183">
        <f t="shared" si="23"/>
        <v>0</v>
      </c>
      <c r="E297" s="440"/>
      <c r="F297" s="717">
        <f>'Kiadások részletes COFOG'!F482</f>
        <v>0</v>
      </c>
      <c r="G297" s="166"/>
      <c r="L297" s="39"/>
    </row>
    <row r="298" spans="1:12" ht="21.75" customHeight="1" thickBot="1" x14ac:dyDescent="0.25">
      <c r="A298" s="821" t="s">
        <v>279</v>
      </c>
      <c r="B298" s="821"/>
      <c r="C298" s="187">
        <f>SUM(C291:C297)</f>
        <v>2362000</v>
      </c>
      <c r="D298" s="187">
        <f>SUM(D291:D297)</f>
        <v>-122000</v>
      </c>
      <c r="E298" s="441">
        <f>F298/C298*100</f>
        <v>94.834885690093145</v>
      </c>
      <c r="F298" s="186">
        <f>SUM(F291:F297)</f>
        <v>2240000</v>
      </c>
    </row>
    <row r="299" spans="1:12" ht="24.75" customHeight="1" thickBot="1" x14ac:dyDescent="0.25">
      <c r="A299" s="788" t="s">
        <v>302</v>
      </c>
      <c r="B299" s="788"/>
      <c r="C299" s="788"/>
      <c r="D299" s="788"/>
      <c r="E299" s="788"/>
      <c r="F299" s="788"/>
    </row>
    <row r="300" spans="1:12" ht="18.75" customHeight="1" thickBot="1" x14ac:dyDescent="0.25">
      <c r="A300" s="823" t="s">
        <v>46</v>
      </c>
      <c r="B300" s="824" t="s">
        <v>47</v>
      </c>
      <c r="C300" s="825">
        <v>2022</v>
      </c>
      <c r="D300" s="826"/>
      <c r="E300" s="826"/>
      <c r="F300" s="457">
        <v>2023</v>
      </c>
    </row>
    <row r="301" spans="1:12" ht="25.5" customHeight="1" thickBot="1" x14ac:dyDescent="0.25">
      <c r="A301" s="823"/>
      <c r="B301" s="824"/>
      <c r="C301" s="149" t="s">
        <v>48</v>
      </c>
      <c r="D301" s="149" t="s">
        <v>509</v>
      </c>
      <c r="E301" s="149" t="s">
        <v>384</v>
      </c>
      <c r="F301" s="456" t="s">
        <v>510</v>
      </c>
    </row>
    <row r="302" spans="1:12" ht="21" customHeight="1" x14ac:dyDescent="0.2">
      <c r="A302" s="161" t="s">
        <v>170</v>
      </c>
      <c r="B302" s="162" t="s">
        <v>303</v>
      </c>
      <c r="C302" s="163">
        <v>0</v>
      </c>
      <c r="D302" s="163">
        <f t="shared" ref="D302:D308" si="24">F302-C302</f>
        <v>116000</v>
      </c>
      <c r="E302" s="312">
        <v>0</v>
      </c>
      <c r="F302" s="164">
        <f>'Kiadások részletes COFOG'!F487</f>
        <v>116000</v>
      </c>
    </row>
    <row r="303" spans="1:12" ht="21" customHeight="1" x14ac:dyDescent="0.2">
      <c r="A303" s="161" t="s">
        <v>197</v>
      </c>
      <c r="B303" s="162" t="s">
        <v>198</v>
      </c>
      <c r="C303" s="163">
        <v>0</v>
      </c>
      <c r="D303" s="163">
        <f t="shared" si="24"/>
        <v>0</v>
      </c>
      <c r="E303" s="312">
        <v>0</v>
      </c>
      <c r="F303" s="164">
        <v>0</v>
      </c>
    </row>
    <row r="304" spans="1:12" ht="18.75" customHeight="1" x14ac:dyDescent="0.2">
      <c r="A304" s="161" t="s">
        <v>205</v>
      </c>
      <c r="B304" s="162" t="s">
        <v>304</v>
      </c>
      <c r="C304" s="163">
        <v>0</v>
      </c>
      <c r="D304" s="163">
        <f t="shared" si="24"/>
        <v>300000</v>
      </c>
      <c r="E304" s="312">
        <v>0</v>
      </c>
      <c r="F304" s="164">
        <f>'Kiadások részletes COFOG'!F488</f>
        <v>300000</v>
      </c>
    </row>
    <row r="305" spans="1:15" ht="18" customHeight="1" x14ac:dyDescent="0.2">
      <c r="A305" s="161" t="s">
        <v>213</v>
      </c>
      <c r="B305" s="162" t="s">
        <v>305</v>
      </c>
      <c r="C305" s="163">
        <v>0</v>
      </c>
      <c r="D305" s="163">
        <f t="shared" si="24"/>
        <v>113000</v>
      </c>
      <c r="E305" s="312">
        <v>0</v>
      </c>
      <c r="F305" s="164">
        <f>'Kiadások részletes COFOG'!F489</f>
        <v>113000</v>
      </c>
    </row>
    <row r="306" spans="1:15" ht="18" customHeight="1" x14ac:dyDescent="0.2">
      <c r="A306" s="161" t="s">
        <v>457</v>
      </c>
      <c r="B306" s="162" t="s">
        <v>463</v>
      </c>
      <c r="C306" s="163">
        <v>0</v>
      </c>
      <c r="D306" s="163">
        <f t="shared" si="24"/>
        <v>0</v>
      </c>
      <c r="E306" s="312">
        <v>0</v>
      </c>
      <c r="F306" s="164">
        <f>'Kiadások részletes COFOG'!F490</f>
        <v>0</v>
      </c>
    </row>
    <row r="307" spans="1:15" ht="24" customHeight="1" x14ac:dyDescent="0.2">
      <c r="A307" s="114" t="s">
        <v>457</v>
      </c>
      <c r="B307" s="87" t="s">
        <v>306</v>
      </c>
      <c r="C307" s="106">
        <v>6300000</v>
      </c>
      <c r="D307" s="163">
        <f t="shared" si="24"/>
        <v>0</v>
      </c>
      <c r="E307" s="312">
        <v>0</v>
      </c>
      <c r="F307" s="107">
        <f>'Kiadások részletes COFOG'!F491</f>
        <v>6300000</v>
      </c>
    </row>
    <row r="308" spans="1:15" ht="21" customHeight="1" thickBot="1" x14ac:dyDescent="0.25">
      <c r="A308" s="91" t="s">
        <v>457</v>
      </c>
      <c r="B308" s="92" t="s">
        <v>301</v>
      </c>
      <c r="C308" s="95">
        <v>5500000</v>
      </c>
      <c r="D308" s="163">
        <f t="shared" si="24"/>
        <v>0</v>
      </c>
      <c r="E308" s="312">
        <v>0</v>
      </c>
      <c r="F308" s="96">
        <f>'Kiadások részletes COFOG'!F493</f>
        <v>5500000</v>
      </c>
      <c r="M308" s="192"/>
      <c r="N308" s="192"/>
      <c r="O308" s="191"/>
    </row>
    <row r="309" spans="1:15" ht="19.5" customHeight="1" thickBot="1" x14ac:dyDescent="0.25">
      <c r="A309" s="821" t="s">
        <v>279</v>
      </c>
      <c r="B309" s="821"/>
      <c r="C309" s="93">
        <f>SUM(C302:C308)</f>
        <v>11800000</v>
      </c>
      <c r="D309" s="93">
        <f>SUM(D302:D308)</f>
        <v>529000</v>
      </c>
      <c r="E309" s="311">
        <f>F309/C309*100</f>
        <v>104.48305084745763</v>
      </c>
      <c r="F309" s="94">
        <f>SUM(F302:F308)</f>
        <v>12329000</v>
      </c>
      <c r="M309" s="822"/>
      <c r="N309" s="822"/>
      <c r="O309" s="191"/>
    </row>
    <row r="310" spans="1:15" x14ac:dyDescent="0.2">
      <c r="M310" s="822"/>
      <c r="N310" s="822"/>
      <c r="O310" s="191"/>
    </row>
    <row r="311" spans="1:15" ht="6.75" customHeight="1" x14ac:dyDescent="0.2">
      <c r="M311" s="822"/>
      <c r="N311" s="822"/>
      <c r="O311" s="191"/>
    </row>
    <row r="312" spans="1:15" ht="0.75" customHeight="1" thickBot="1" x14ac:dyDescent="0.25">
      <c r="M312" s="822"/>
      <c r="N312" s="822"/>
      <c r="O312" s="191"/>
    </row>
    <row r="313" spans="1:15" ht="21.75" customHeight="1" thickBot="1" x14ac:dyDescent="0.25">
      <c r="A313" s="193" t="s">
        <v>307</v>
      </c>
      <c r="B313" s="402"/>
      <c r="C313" s="147">
        <f>C56+C71+C86+C97+C103+C109+C119+C128+C139+C147+C161+C187+C214+C219+C237+C242+C262+C276+C282+C287+C298+C309+C270+C153</f>
        <v>571700664</v>
      </c>
      <c r="D313" s="147">
        <f>D56+D71+D86+D97+D103+D109+D119+D128+D139+D147+D161+D187+D214+D219+D237+D242+D262+D276+D282+D287+D298+D309+D153+D225</f>
        <v>95851074</v>
      </c>
      <c r="E313" s="316">
        <f>F313/C313*100</f>
        <v>116.76595463950694</v>
      </c>
      <c r="F313" s="147">
        <f>F56+F71+F86+F97+F103+F109+F119+F128+F139+F147+F161+F187+F214+F219+F237+F242+F262+F276+F282+F287+F298+F309+F153</f>
        <v>667551738</v>
      </c>
      <c r="M313" s="827"/>
      <c r="N313" s="827"/>
      <c r="O313" s="191"/>
    </row>
    <row r="314" spans="1:15" x14ac:dyDescent="0.2">
      <c r="O314" s="191"/>
    </row>
    <row r="315" spans="1:15" x14ac:dyDescent="0.2">
      <c r="D315" s="79"/>
      <c r="E315" s="79"/>
      <c r="F315" s="484">
        <f>F313-'Kiadások részletes COFOG'!F503</f>
        <v>0</v>
      </c>
    </row>
    <row r="318" spans="1:15" x14ac:dyDescent="0.2">
      <c r="K318" s="77"/>
    </row>
    <row r="321" spans="11:14" x14ac:dyDescent="0.2">
      <c r="K321" s="77"/>
    </row>
    <row r="324" spans="11:14" x14ac:dyDescent="0.2">
      <c r="K324" s="77"/>
    </row>
    <row r="326" spans="11:14" x14ac:dyDescent="0.2">
      <c r="N326" s="77"/>
    </row>
    <row r="327" spans="11:14" x14ac:dyDescent="0.2">
      <c r="N327" s="77"/>
    </row>
    <row r="331" spans="11:14" x14ac:dyDescent="0.2">
      <c r="L331" s="77"/>
    </row>
    <row r="334" spans="11:14" x14ac:dyDescent="0.2">
      <c r="L334" s="77"/>
    </row>
    <row r="338" spans="11:14" x14ac:dyDescent="0.2">
      <c r="K338" s="77"/>
    </row>
    <row r="341" spans="11:14" x14ac:dyDescent="0.2">
      <c r="K341" s="77"/>
    </row>
    <row r="345" spans="11:14" x14ac:dyDescent="0.2">
      <c r="N345" s="77"/>
    </row>
  </sheetData>
  <autoFilter ref="A1:A331" xr:uid="{00000000-0009-0000-0000-000004000000}"/>
  <mergeCells count="143">
    <mergeCell ref="A2:F2"/>
    <mergeCell ref="A3:F3"/>
    <mergeCell ref="A5:F5"/>
    <mergeCell ref="A7:F7"/>
    <mergeCell ref="A8:A9"/>
    <mergeCell ref="B8:B9"/>
    <mergeCell ref="E1:F1"/>
    <mergeCell ref="A43:A45"/>
    <mergeCell ref="C8:E8"/>
    <mergeCell ref="A17:B17"/>
    <mergeCell ref="A19:B19"/>
    <mergeCell ref="A38:B38"/>
    <mergeCell ref="A56:B56"/>
    <mergeCell ref="A57:F57"/>
    <mergeCell ref="A58:A59"/>
    <mergeCell ref="B58:B59"/>
    <mergeCell ref="A71:B71"/>
    <mergeCell ref="A72:F72"/>
    <mergeCell ref="A73:A74"/>
    <mergeCell ref="B73:B74"/>
    <mergeCell ref="C58:E58"/>
    <mergeCell ref="C73:E73"/>
    <mergeCell ref="I82:J82"/>
    <mergeCell ref="A86:B86"/>
    <mergeCell ref="A87:F87"/>
    <mergeCell ref="A88:A89"/>
    <mergeCell ref="B88:B89"/>
    <mergeCell ref="A97:B97"/>
    <mergeCell ref="A98:F98"/>
    <mergeCell ref="A99:A100"/>
    <mergeCell ref="B99:B100"/>
    <mergeCell ref="C88:E88"/>
    <mergeCell ref="C99:E99"/>
    <mergeCell ref="A103:B103"/>
    <mergeCell ref="A104:F104"/>
    <mergeCell ref="A105:A106"/>
    <mergeCell ref="B105:B106"/>
    <mergeCell ref="A109:B109"/>
    <mergeCell ref="A110:F110"/>
    <mergeCell ref="A111:A112"/>
    <mergeCell ref="B111:B112"/>
    <mergeCell ref="C105:E105"/>
    <mergeCell ref="C111:E111"/>
    <mergeCell ref="A119:B119"/>
    <mergeCell ref="A129:F129"/>
    <mergeCell ref="A130:A131"/>
    <mergeCell ref="B130:B131"/>
    <mergeCell ref="I137:J137"/>
    <mergeCell ref="A139:B139"/>
    <mergeCell ref="A140:F140"/>
    <mergeCell ref="A141:A142"/>
    <mergeCell ref="B141:B142"/>
    <mergeCell ref="A120:F120"/>
    <mergeCell ref="A121:A122"/>
    <mergeCell ref="B121:B122"/>
    <mergeCell ref="A128:B128"/>
    <mergeCell ref="C121:E121"/>
    <mergeCell ref="C130:E130"/>
    <mergeCell ref="C141:E141"/>
    <mergeCell ref="A147:B147"/>
    <mergeCell ref="A154:F154"/>
    <mergeCell ref="A155:A156"/>
    <mergeCell ref="B155:B156"/>
    <mergeCell ref="A161:B161"/>
    <mergeCell ref="A162:F162"/>
    <mergeCell ref="A163:A164"/>
    <mergeCell ref="B163:B164"/>
    <mergeCell ref="C155:E155"/>
    <mergeCell ref="C163:E163"/>
    <mergeCell ref="A148:F148"/>
    <mergeCell ref="A149:A150"/>
    <mergeCell ref="B149:B150"/>
    <mergeCell ref="C149:E149"/>
    <mergeCell ref="A153:B153"/>
    <mergeCell ref="A187:B187"/>
    <mergeCell ref="A188:F188"/>
    <mergeCell ref="A189:A190"/>
    <mergeCell ref="B189:B190"/>
    <mergeCell ref="A214:B214"/>
    <mergeCell ref="A215:F215"/>
    <mergeCell ref="A216:A217"/>
    <mergeCell ref="B216:B217"/>
    <mergeCell ref="C189:E189"/>
    <mergeCell ref="C216:E216"/>
    <mergeCell ref="A219:B219"/>
    <mergeCell ref="A226:F226"/>
    <mergeCell ref="A227:A228"/>
    <mergeCell ref="B227:B228"/>
    <mergeCell ref="A237:B237"/>
    <mergeCell ref="A238:F238"/>
    <mergeCell ref="A239:A240"/>
    <mergeCell ref="B239:B240"/>
    <mergeCell ref="C227:E227"/>
    <mergeCell ref="C239:E239"/>
    <mergeCell ref="A220:F220"/>
    <mergeCell ref="A221:A222"/>
    <mergeCell ref="B221:B222"/>
    <mergeCell ref="A225:B225"/>
    <mergeCell ref="C221:E221"/>
    <mergeCell ref="A277:F277"/>
    <mergeCell ref="A278:A279"/>
    <mergeCell ref="B278:B279"/>
    <mergeCell ref="C272:E272"/>
    <mergeCell ref="C278:E278"/>
    <mergeCell ref="A263:F263"/>
    <mergeCell ref="A270:B270"/>
    <mergeCell ref="A264:A265"/>
    <mergeCell ref="B264:B265"/>
    <mergeCell ref="C264:E264"/>
    <mergeCell ref="M313:N313"/>
    <mergeCell ref="A288:F288"/>
    <mergeCell ref="A289:A290"/>
    <mergeCell ref="B289:B290"/>
    <mergeCell ref="A298:B298"/>
    <mergeCell ref="A299:F299"/>
    <mergeCell ref="A300:A301"/>
    <mergeCell ref="B300:B301"/>
    <mergeCell ref="C289:E289"/>
    <mergeCell ref="C300:E300"/>
    <mergeCell ref="A46:B46"/>
    <mergeCell ref="A51:B51"/>
    <mergeCell ref="A54:B54"/>
    <mergeCell ref="A309:B309"/>
    <mergeCell ref="M309:N309"/>
    <mergeCell ref="M310:N310"/>
    <mergeCell ref="M311:N311"/>
    <mergeCell ref="M312:N312"/>
    <mergeCell ref="A282:B282"/>
    <mergeCell ref="A283:F283"/>
    <mergeCell ref="A284:A285"/>
    <mergeCell ref="B284:B285"/>
    <mergeCell ref="A287:B287"/>
    <mergeCell ref="C284:E284"/>
    <mergeCell ref="A242:B242"/>
    <mergeCell ref="A243:F243"/>
    <mergeCell ref="A244:A245"/>
    <mergeCell ref="B244:B245"/>
    <mergeCell ref="A262:B262"/>
    <mergeCell ref="C244:E244"/>
    <mergeCell ref="A271:F271"/>
    <mergeCell ref="A272:A273"/>
    <mergeCell ref="B272:B273"/>
    <mergeCell ref="A276:B276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58" firstPageNumber="0" orientation="portrait" verticalDpi="300" r:id="rId1"/>
  <rowBreaks count="4" manualBreakCount="4">
    <brk id="56" max="16383" man="1"/>
    <brk id="103" max="5" man="1"/>
    <brk id="153" max="5" man="1"/>
    <brk id="21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22"/>
  <sheetViews>
    <sheetView topLeftCell="A489" zoomScale="112" zoomScaleNormal="112" workbookViewId="0">
      <selection activeCell="F105" sqref="F105"/>
    </sheetView>
  </sheetViews>
  <sheetFormatPr defaultRowHeight="12.75" x14ac:dyDescent="0.2"/>
  <cols>
    <col min="1" max="1" width="9.140625" customWidth="1"/>
    <col min="2" max="2" width="35.5703125" customWidth="1"/>
    <col min="3" max="3" width="13" customWidth="1"/>
    <col min="4" max="5" width="9.140625" customWidth="1"/>
    <col min="6" max="6" width="17.85546875" style="79" customWidth="1"/>
    <col min="7" max="7" width="13.140625" style="231" customWidth="1"/>
    <col min="8" max="8" width="14.42578125" style="510" bestFit="1" customWidth="1"/>
    <col min="9" max="9" width="12.85546875" style="527" customWidth="1"/>
    <col min="10" max="10" width="10.140625" bestFit="1" customWidth="1"/>
    <col min="11" max="11" width="12.85546875" customWidth="1"/>
    <col min="12" max="13" width="9.140625" customWidth="1"/>
    <col min="14" max="14" width="10.140625" bestFit="1" customWidth="1"/>
    <col min="15" max="15" width="20.5703125" customWidth="1"/>
    <col min="16" max="1025" width="9.140625" customWidth="1"/>
  </cols>
  <sheetData>
    <row r="1" spans="1:10" ht="12" customHeight="1" x14ac:dyDescent="0.2">
      <c r="E1" s="921" t="s">
        <v>386</v>
      </c>
      <c r="F1" s="843"/>
    </row>
    <row r="2" spans="1:10" ht="12" customHeight="1" x14ac:dyDescent="0.2">
      <c r="E2" s="301"/>
      <c r="F2" s="179"/>
    </row>
    <row r="3" spans="1:10" ht="15.75" x14ac:dyDescent="0.25">
      <c r="A3" s="782" t="s">
        <v>680</v>
      </c>
      <c r="B3" s="782"/>
      <c r="C3" s="782"/>
      <c r="D3" s="782"/>
      <c r="E3" s="782"/>
      <c r="F3" s="782"/>
    </row>
    <row r="4" spans="1:10" ht="15.75" x14ac:dyDescent="0.25">
      <c r="A4" s="782" t="s">
        <v>390</v>
      </c>
      <c r="B4" s="782"/>
      <c r="C4" s="782"/>
      <c r="D4" s="782"/>
      <c r="E4" s="782"/>
      <c r="F4" s="782"/>
    </row>
    <row r="5" spans="1:10" ht="21.75" customHeight="1" x14ac:dyDescent="0.2">
      <c r="F5" s="80" t="s">
        <v>45</v>
      </c>
    </row>
    <row r="6" spans="1:10" ht="18" customHeight="1" x14ac:dyDescent="0.2">
      <c r="A6" s="922" t="s">
        <v>266</v>
      </c>
      <c r="B6" s="922"/>
      <c r="C6" s="922"/>
      <c r="D6" s="922"/>
      <c r="E6" s="922"/>
      <c r="F6" s="922"/>
      <c r="H6" s="511"/>
    </row>
    <row r="7" spans="1:10" s="39" customFormat="1" ht="18" customHeight="1" x14ac:dyDescent="0.2">
      <c r="A7" s="81"/>
      <c r="B7" s="81"/>
      <c r="C7" s="81"/>
      <c r="D7" s="81"/>
      <c r="E7" s="81"/>
      <c r="F7" s="81"/>
      <c r="G7" s="353"/>
      <c r="H7" s="512"/>
      <c r="I7" s="528"/>
    </row>
    <row r="8" spans="1:10" ht="23.25" customHeight="1" x14ac:dyDescent="0.2">
      <c r="A8" s="853" t="s">
        <v>115</v>
      </c>
      <c r="B8" s="853"/>
      <c r="C8" s="853"/>
      <c r="D8" s="853"/>
      <c r="E8" s="853"/>
      <c r="F8" s="853"/>
    </row>
    <row r="9" spans="1:10" ht="17.25" customHeight="1" x14ac:dyDescent="0.2">
      <c r="A9" s="863" t="s">
        <v>46</v>
      </c>
      <c r="B9" s="864" t="s">
        <v>47</v>
      </c>
      <c r="C9" s="851">
        <v>2023</v>
      </c>
      <c r="D9" s="851"/>
      <c r="E9" s="851"/>
      <c r="F9" s="851"/>
    </row>
    <row r="10" spans="1:10" ht="16.5" customHeight="1" x14ac:dyDescent="0.2">
      <c r="A10" s="863"/>
      <c r="B10" s="864"/>
      <c r="C10" s="852"/>
      <c r="D10" s="852"/>
      <c r="E10" s="852"/>
      <c r="F10" s="194" t="s">
        <v>510</v>
      </c>
      <c r="G10" s="195"/>
    </row>
    <row r="11" spans="1:10" ht="15" customHeight="1" thickBot="1" x14ac:dyDescent="0.25">
      <c r="A11" s="923" t="s">
        <v>142</v>
      </c>
      <c r="B11" s="903" t="s">
        <v>267</v>
      </c>
      <c r="C11" s="903"/>
      <c r="D11" s="903"/>
      <c r="E11" s="903"/>
      <c r="F11" s="903"/>
    </row>
    <row r="12" spans="1:10" ht="15" customHeight="1" thickBot="1" x14ac:dyDescent="0.25">
      <c r="A12" s="923"/>
      <c r="B12" s="87"/>
      <c r="C12" s="458"/>
      <c r="D12" s="459"/>
      <c r="E12" s="459"/>
      <c r="F12" s="222"/>
    </row>
    <row r="13" spans="1:10" ht="15" customHeight="1" thickBot="1" x14ac:dyDescent="0.25">
      <c r="A13" s="923"/>
      <c r="B13" s="87"/>
      <c r="C13" s="458"/>
      <c r="D13" s="459"/>
      <c r="E13" s="459"/>
      <c r="F13" s="222">
        <f>C13*D13</f>
        <v>0</v>
      </c>
      <c r="J13" s="111"/>
    </row>
    <row r="14" spans="1:10" ht="15" customHeight="1" x14ac:dyDescent="0.2">
      <c r="A14" s="923"/>
      <c r="B14" s="858" t="s">
        <v>308</v>
      </c>
      <c r="C14" s="858"/>
      <c r="D14" s="858"/>
      <c r="E14" s="858"/>
      <c r="F14" s="199">
        <f>SUM(F12:F13)</f>
        <v>0</v>
      </c>
    </row>
    <row r="15" spans="1:10" ht="15" customHeight="1" x14ac:dyDescent="0.2">
      <c r="A15" s="102" t="s">
        <v>152</v>
      </c>
      <c r="B15" s="859" t="s">
        <v>153</v>
      </c>
      <c r="C15" s="859"/>
      <c r="D15" s="859"/>
      <c r="E15" s="859"/>
      <c r="F15" s="859"/>
    </row>
    <row r="16" spans="1:10" ht="15" customHeight="1" x14ac:dyDescent="0.2">
      <c r="A16" s="200"/>
      <c r="B16" s="87" t="s">
        <v>685</v>
      </c>
      <c r="C16" s="106">
        <v>780000</v>
      </c>
      <c r="D16" s="197">
        <v>12</v>
      </c>
      <c r="E16" s="197" t="s">
        <v>309</v>
      </c>
      <c r="F16" s="198">
        <f t="shared" ref="F16:F24" si="0">SUM(C16*D16)</f>
        <v>9360000</v>
      </c>
    </row>
    <row r="17" spans="1:10" ht="15" customHeight="1" x14ac:dyDescent="0.2">
      <c r="A17" s="200"/>
      <c r="B17" s="87" t="s">
        <v>645</v>
      </c>
      <c r="C17" s="106">
        <v>117000</v>
      </c>
      <c r="D17" s="197">
        <v>12</v>
      </c>
      <c r="E17" s="197" t="s">
        <v>309</v>
      </c>
      <c r="F17" s="198">
        <f t="shared" si="0"/>
        <v>1404000</v>
      </c>
    </row>
    <row r="18" spans="1:10" ht="15" customHeight="1" x14ac:dyDescent="0.2">
      <c r="A18" s="200"/>
      <c r="B18" s="87" t="s">
        <v>679</v>
      </c>
      <c r="C18" s="106">
        <v>780000</v>
      </c>
      <c r="D18" s="197">
        <v>3</v>
      </c>
      <c r="E18" s="197" t="s">
        <v>310</v>
      </c>
      <c r="F18" s="198">
        <f t="shared" si="0"/>
        <v>2340000</v>
      </c>
    </row>
    <row r="19" spans="1:10" ht="15" customHeight="1" x14ac:dyDescent="0.2">
      <c r="A19" s="200"/>
      <c r="B19" s="87" t="s">
        <v>688</v>
      </c>
      <c r="C19" s="106">
        <v>300000</v>
      </c>
      <c r="D19" s="197">
        <v>1</v>
      </c>
      <c r="E19" s="197" t="s">
        <v>310</v>
      </c>
      <c r="F19" s="198">
        <f t="shared" si="0"/>
        <v>300000</v>
      </c>
    </row>
    <row r="20" spans="1:10" ht="15" customHeight="1" x14ac:dyDescent="0.2">
      <c r="A20" s="200"/>
      <c r="B20" s="87" t="s">
        <v>533</v>
      </c>
      <c r="C20" s="106">
        <v>434000</v>
      </c>
      <c r="D20" s="197">
        <v>12</v>
      </c>
      <c r="E20" s="197" t="s">
        <v>309</v>
      </c>
      <c r="F20" s="198">
        <f t="shared" si="0"/>
        <v>5208000</v>
      </c>
      <c r="H20" s="514"/>
    </row>
    <row r="21" spans="1:10" ht="15" customHeight="1" x14ac:dyDescent="0.2">
      <c r="A21" s="200"/>
      <c r="B21" s="87" t="s">
        <v>686</v>
      </c>
      <c r="C21" s="106">
        <v>190000</v>
      </c>
      <c r="D21" s="197">
        <v>12</v>
      </c>
      <c r="E21" s="197" t="s">
        <v>309</v>
      </c>
      <c r="F21" s="198">
        <f t="shared" si="0"/>
        <v>2280000</v>
      </c>
      <c r="J21" s="289"/>
    </row>
    <row r="22" spans="1:10" ht="15.75" customHeight="1" x14ac:dyDescent="0.2">
      <c r="A22" s="200"/>
      <c r="B22" s="87" t="s">
        <v>687</v>
      </c>
      <c r="C22" s="106">
        <v>28500</v>
      </c>
      <c r="D22" s="197">
        <v>12</v>
      </c>
      <c r="E22" s="197" t="s">
        <v>309</v>
      </c>
      <c r="F22" s="198">
        <f t="shared" si="0"/>
        <v>342000</v>
      </c>
      <c r="J22" s="289"/>
    </row>
    <row r="23" spans="1:10" ht="15" customHeight="1" x14ac:dyDescent="0.2">
      <c r="A23" s="101" t="s">
        <v>152</v>
      </c>
      <c r="B23" s="87" t="s">
        <v>311</v>
      </c>
      <c r="C23" s="106">
        <v>1000</v>
      </c>
      <c r="D23" s="197">
        <v>12</v>
      </c>
      <c r="E23" s="197" t="s">
        <v>309</v>
      </c>
      <c r="F23" s="198">
        <f t="shared" si="0"/>
        <v>12000</v>
      </c>
      <c r="J23" s="111"/>
    </row>
    <row r="24" spans="1:10" ht="15" customHeight="1" x14ac:dyDescent="0.2">
      <c r="A24" s="101"/>
      <c r="B24" s="87" t="s">
        <v>397</v>
      </c>
      <c r="C24" s="106">
        <v>5000</v>
      </c>
      <c r="D24" s="197">
        <v>12</v>
      </c>
      <c r="E24" s="197" t="s">
        <v>309</v>
      </c>
      <c r="F24" s="198">
        <f t="shared" si="0"/>
        <v>60000</v>
      </c>
      <c r="G24" s="212">
        <f>SUM(F16:F24)</f>
        <v>21306000</v>
      </c>
      <c r="J24" s="111"/>
    </row>
    <row r="25" spans="1:10" ht="15" customHeight="1" x14ac:dyDescent="0.2">
      <c r="A25" s="150"/>
      <c r="B25" s="858" t="s">
        <v>312</v>
      </c>
      <c r="C25" s="858"/>
      <c r="D25" s="858"/>
      <c r="E25" s="858"/>
      <c r="F25" s="199">
        <v>21310000</v>
      </c>
    </row>
    <row r="26" spans="1:10" ht="18.75" customHeight="1" x14ac:dyDescent="0.2">
      <c r="A26" s="808" t="s">
        <v>154</v>
      </c>
      <c r="B26" s="859" t="s">
        <v>155</v>
      </c>
      <c r="C26" s="859"/>
      <c r="D26" s="859"/>
      <c r="E26" s="859"/>
      <c r="F26" s="859"/>
    </row>
    <row r="27" spans="1:10" ht="18" customHeight="1" x14ac:dyDescent="0.2">
      <c r="A27" s="808"/>
      <c r="B27" s="87" t="s">
        <v>548</v>
      </c>
      <c r="C27" s="106">
        <v>15000</v>
      </c>
      <c r="D27" s="197">
        <v>12</v>
      </c>
      <c r="E27" s="197"/>
      <c r="F27" s="198">
        <f>SUM(C27*D27)</f>
        <v>180000</v>
      </c>
    </row>
    <row r="28" spans="1:10" ht="18" customHeight="1" x14ac:dyDescent="0.2">
      <c r="A28" s="808"/>
      <c r="B28" s="87" t="s">
        <v>547</v>
      </c>
      <c r="C28" s="106">
        <v>55000</v>
      </c>
      <c r="D28" s="197">
        <v>12</v>
      </c>
      <c r="E28" s="197"/>
      <c r="F28" s="198">
        <f>SUM(C28*D28)</f>
        <v>660000</v>
      </c>
    </row>
    <row r="29" spans="1:10" ht="18" customHeight="1" x14ac:dyDescent="0.2">
      <c r="A29" s="808"/>
      <c r="B29" s="87" t="s">
        <v>401</v>
      </c>
      <c r="C29" s="106">
        <v>18000</v>
      </c>
      <c r="D29" s="197">
        <v>12</v>
      </c>
      <c r="E29" s="197"/>
      <c r="F29" s="198">
        <f>SUM(C29*D29)</f>
        <v>216000</v>
      </c>
    </row>
    <row r="30" spans="1:10" ht="18" customHeight="1" x14ac:dyDescent="0.2">
      <c r="A30" s="808"/>
      <c r="B30" s="87" t="s">
        <v>646</v>
      </c>
      <c r="C30" s="106"/>
      <c r="D30" s="197"/>
      <c r="E30" s="197"/>
      <c r="F30" s="198">
        <v>744000</v>
      </c>
    </row>
    <row r="31" spans="1:10" ht="15.75" customHeight="1" x14ac:dyDescent="0.2">
      <c r="A31" s="808"/>
      <c r="B31" s="858" t="s">
        <v>313</v>
      </c>
      <c r="C31" s="858"/>
      <c r="D31" s="858"/>
      <c r="E31" s="858"/>
      <c r="F31" s="199">
        <f>SUM(F27:F30)</f>
        <v>1800000</v>
      </c>
      <c r="H31" s="513"/>
    </row>
    <row r="32" spans="1:10" ht="15" customHeight="1" x14ac:dyDescent="0.2">
      <c r="A32" s="114" t="s">
        <v>399</v>
      </c>
      <c r="B32" s="858" t="s">
        <v>157</v>
      </c>
      <c r="C32" s="858"/>
      <c r="D32" s="858"/>
      <c r="E32" s="858"/>
      <c r="F32" s="199">
        <v>250000</v>
      </c>
    </row>
    <row r="33" spans="1:11" ht="15" customHeight="1" x14ac:dyDescent="0.2">
      <c r="A33" s="924" t="s">
        <v>314</v>
      </c>
      <c r="B33" s="87" t="s">
        <v>315</v>
      </c>
      <c r="C33" s="106">
        <f>F14+F25+F31+F32</f>
        <v>23360000</v>
      </c>
      <c r="D33" s="202">
        <v>0.13</v>
      </c>
      <c r="E33" s="731"/>
      <c r="F33" s="198">
        <f>SUM(C33*D33)</f>
        <v>3036800</v>
      </c>
      <c r="G33" s="212"/>
      <c r="H33" s="513"/>
    </row>
    <row r="34" spans="1:11" ht="15" customHeight="1" x14ac:dyDescent="0.2">
      <c r="A34" s="924"/>
      <c r="B34" s="87" t="s">
        <v>631</v>
      </c>
      <c r="C34" s="106">
        <f>SUM(F32)</f>
        <v>250000</v>
      </c>
      <c r="D34" s="202">
        <v>0.15</v>
      </c>
      <c r="E34" s="731"/>
      <c r="F34" s="198">
        <f>SUM(C34*D34)</f>
        <v>37500</v>
      </c>
      <c r="G34" s="212"/>
      <c r="H34" s="513"/>
    </row>
    <row r="35" spans="1:11" ht="15" customHeight="1" x14ac:dyDescent="0.2">
      <c r="A35" s="924"/>
      <c r="B35" s="87"/>
      <c r="C35" s="106"/>
      <c r="D35" s="202"/>
      <c r="F35" s="198"/>
      <c r="G35" s="212">
        <f>SUM(F33:F35)</f>
        <v>3074300</v>
      </c>
      <c r="H35" s="513"/>
    </row>
    <row r="36" spans="1:11" ht="15.75" customHeight="1" x14ac:dyDescent="0.2">
      <c r="A36" s="924"/>
      <c r="B36" s="858" t="s">
        <v>316</v>
      </c>
      <c r="C36" s="858"/>
      <c r="D36" s="858"/>
      <c r="E36" s="858"/>
      <c r="F36" s="199">
        <v>3100000</v>
      </c>
      <c r="G36" s="212"/>
    </row>
    <row r="37" spans="1:11" ht="15" customHeight="1" x14ac:dyDescent="0.2">
      <c r="A37" s="879" t="s">
        <v>162</v>
      </c>
      <c r="B37" s="87" t="s">
        <v>556</v>
      </c>
      <c r="C37" s="106">
        <v>1800</v>
      </c>
      <c r="D37" s="207">
        <v>0.05</v>
      </c>
      <c r="E37" s="197">
        <v>4</v>
      </c>
      <c r="F37" s="198">
        <f>SUM(C37*E37)</f>
        <v>7200</v>
      </c>
      <c r="G37" s="508"/>
      <c r="H37" s="515">
        <v>0.05</v>
      </c>
      <c r="I37" s="535">
        <f>SUM(F37*H37)</f>
        <v>360</v>
      </c>
      <c r="J37" s="509"/>
      <c r="K37" s="249"/>
    </row>
    <row r="38" spans="1:11" ht="15" customHeight="1" x14ac:dyDescent="0.2">
      <c r="A38" s="872"/>
      <c r="B38" s="87" t="s">
        <v>558</v>
      </c>
      <c r="C38" s="106">
        <v>40000</v>
      </c>
      <c r="D38" s="207">
        <v>0.05</v>
      </c>
      <c r="E38" s="197">
        <v>4</v>
      </c>
      <c r="F38" s="198">
        <f>SUM(C38*E38)</f>
        <v>160000</v>
      </c>
      <c r="G38" s="508"/>
      <c r="H38" s="515">
        <v>0.05</v>
      </c>
      <c r="I38" s="535">
        <f>SUM(F38*H38)</f>
        <v>8000</v>
      </c>
      <c r="J38" s="509"/>
      <c r="K38" s="249"/>
    </row>
    <row r="39" spans="1:11" ht="15" customHeight="1" x14ac:dyDescent="0.2">
      <c r="A39" s="872"/>
      <c r="B39" s="87" t="s">
        <v>557</v>
      </c>
      <c r="C39" s="106"/>
      <c r="D39" s="207">
        <v>0.05</v>
      </c>
      <c r="E39" s="106"/>
      <c r="F39" s="198">
        <v>32800</v>
      </c>
      <c r="G39" s="508"/>
      <c r="H39" s="515">
        <v>0.05</v>
      </c>
      <c r="I39" s="535">
        <f t="shared" ref="I39:I89" si="1">SUM(F39*H39)</f>
        <v>1640</v>
      </c>
      <c r="J39" s="509"/>
      <c r="K39" s="249"/>
    </row>
    <row r="40" spans="1:11" ht="15" customHeight="1" x14ac:dyDescent="0.2">
      <c r="A40" s="936"/>
      <c r="B40" s="858" t="s">
        <v>317</v>
      </c>
      <c r="C40" s="858"/>
      <c r="D40" s="858"/>
      <c r="E40" s="858"/>
      <c r="F40" s="199">
        <f>SUM(F37:F39)</f>
        <v>200000</v>
      </c>
      <c r="G40" s="508"/>
      <c r="H40" s="515"/>
      <c r="I40" s="535"/>
      <c r="J40" s="509"/>
      <c r="K40" s="249"/>
    </row>
    <row r="41" spans="1:11" ht="15" customHeight="1" x14ac:dyDescent="0.2">
      <c r="A41" s="879" t="s">
        <v>170</v>
      </c>
      <c r="B41" s="87" t="s">
        <v>591</v>
      </c>
      <c r="C41" s="106"/>
      <c r="D41" s="203">
        <v>0.27</v>
      </c>
      <c r="E41" s="197"/>
      <c r="F41" s="198">
        <v>400000</v>
      </c>
      <c r="G41" s="231" t="s">
        <v>581</v>
      </c>
      <c r="H41" s="510">
        <v>0.27</v>
      </c>
      <c r="I41" s="535">
        <f t="shared" si="1"/>
        <v>108000</v>
      </c>
    </row>
    <row r="42" spans="1:11" ht="15" customHeight="1" x14ac:dyDescent="0.2">
      <c r="A42" s="872"/>
      <c r="B42" s="204" t="s">
        <v>318</v>
      </c>
      <c r="C42" s="106"/>
      <c r="D42" s="203">
        <v>0.27</v>
      </c>
      <c r="E42" s="106"/>
      <c r="F42" s="198">
        <v>500000</v>
      </c>
      <c r="H42" s="515">
        <v>0.27</v>
      </c>
      <c r="I42" s="535">
        <f>SUM(F42*H42)</f>
        <v>135000</v>
      </c>
    </row>
    <row r="43" spans="1:11" ht="15" customHeight="1" x14ac:dyDescent="0.2">
      <c r="A43" s="872"/>
      <c r="B43" s="204" t="s">
        <v>175</v>
      </c>
      <c r="C43" s="106"/>
      <c r="D43" s="203">
        <v>0.27</v>
      </c>
      <c r="E43" s="106"/>
      <c r="F43" s="198">
        <v>400000</v>
      </c>
      <c r="H43" s="515">
        <v>0.27</v>
      </c>
      <c r="I43" s="535">
        <f>SUM(F43*H43)</f>
        <v>108000</v>
      </c>
    </row>
    <row r="44" spans="1:11" ht="15" customHeight="1" x14ac:dyDescent="0.2">
      <c r="A44" s="872"/>
      <c r="B44" s="204" t="s">
        <v>559</v>
      </c>
      <c r="C44" s="106"/>
      <c r="D44" s="203">
        <v>0.27</v>
      </c>
      <c r="E44" s="106"/>
      <c r="F44" s="198">
        <v>700000</v>
      </c>
      <c r="H44" s="515">
        <v>0.27</v>
      </c>
      <c r="I44" s="535">
        <f t="shared" si="1"/>
        <v>189000</v>
      </c>
    </row>
    <row r="45" spans="1:11" ht="15" customHeight="1" x14ac:dyDescent="0.2">
      <c r="A45" s="936"/>
      <c r="B45" s="878" t="s">
        <v>320</v>
      </c>
      <c r="C45" s="878"/>
      <c r="D45" s="878"/>
      <c r="E45" s="878"/>
      <c r="F45" s="199">
        <f>SUM(F41:F44)</f>
        <v>2000000</v>
      </c>
      <c r="I45" s="535">
        <f t="shared" si="1"/>
        <v>0</v>
      </c>
    </row>
    <row r="46" spans="1:11" ht="15" customHeight="1" x14ac:dyDescent="0.2">
      <c r="A46" s="909" t="s">
        <v>184</v>
      </c>
      <c r="B46" s="87" t="s">
        <v>560</v>
      </c>
      <c r="C46" s="106">
        <v>150000</v>
      </c>
      <c r="D46" s="207"/>
      <c r="E46" s="106">
        <v>12</v>
      </c>
      <c r="F46" s="198">
        <f>SUM(C46*E46)</f>
        <v>1800000</v>
      </c>
      <c r="H46" s="510" t="s">
        <v>562</v>
      </c>
      <c r="I46" s="535"/>
    </row>
    <row r="47" spans="1:11" ht="15" customHeight="1" x14ac:dyDescent="0.2">
      <c r="A47" s="910"/>
      <c r="B47" s="87" t="s">
        <v>561</v>
      </c>
      <c r="C47" s="106">
        <v>4400</v>
      </c>
      <c r="D47" s="207">
        <v>0.27</v>
      </c>
      <c r="E47" s="106">
        <v>12</v>
      </c>
      <c r="F47" s="198">
        <v>60000</v>
      </c>
      <c r="H47" s="510">
        <v>0.27</v>
      </c>
      <c r="I47" s="535">
        <f t="shared" si="1"/>
        <v>16200.000000000002</v>
      </c>
    </row>
    <row r="48" spans="1:11" ht="15" customHeight="1" x14ac:dyDescent="0.2">
      <c r="A48" s="910"/>
      <c r="B48" s="87" t="s">
        <v>563</v>
      </c>
      <c r="C48" s="106">
        <v>15000</v>
      </c>
      <c r="D48" s="207">
        <v>0.05</v>
      </c>
      <c r="E48" s="106">
        <v>12</v>
      </c>
      <c r="F48" s="198">
        <f>SUM(C48*E48)</f>
        <v>180000</v>
      </c>
      <c r="H48" s="510">
        <v>0.05</v>
      </c>
      <c r="I48" s="535">
        <f t="shared" si="1"/>
        <v>9000</v>
      </c>
    </row>
    <row r="49" spans="1:9" ht="15" customHeight="1" x14ac:dyDescent="0.2">
      <c r="A49" s="911"/>
      <c r="B49" s="878" t="s">
        <v>321</v>
      </c>
      <c r="C49" s="878"/>
      <c r="D49" s="878">
        <v>0.05</v>
      </c>
      <c r="E49" s="878"/>
      <c r="F49" s="199">
        <f>SUM(F46:F48)</f>
        <v>2040000</v>
      </c>
      <c r="I49" s="535"/>
    </row>
    <row r="50" spans="1:9" ht="15" customHeight="1" x14ac:dyDescent="0.2">
      <c r="A50" s="909" t="s">
        <v>185</v>
      </c>
      <c r="B50" s="87" t="s">
        <v>564</v>
      </c>
      <c r="C50" s="106">
        <v>22000</v>
      </c>
      <c r="D50" s="207">
        <v>0.27</v>
      </c>
      <c r="E50" s="106">
        <v>12</v>
      </c>
      <c r="F50" s="198">
        <f>SUM(C50*E50)</f>
        <v>264000</v>
      </c>
      <c r="H50" s="510">
        <v>0.27</v>
      </c>
      <c r="I50" s="535">
        <f t="shared" si="1"/>
        <v>71280</v>
      </c>
    </row>
    <row r="51" spans="1:9" ht="15" customHeight="1" x14ac:dyDescent="0.2">
      <c r="A51" s="911"/>
      <c r="B51" s="878" t="s">
        <v>186</v>
      </c>
      <c r="C51" s="878"/>
      <c r="D51" s="878">
        <v>0.27</v>
      </c>
      <c r="E51" s="878"/>
      <c r="F51" s="199">
        <f>SUM(F50)</f>
        <v>264000</v>
      </c>
      <c r="I51" s="535"/>
    </row>
    <row r="52" spans="1:9" ht="15" customHeight="1" x14ac:dyDescent="0.2">
      <c r="A52" s="86" t="s">
        <v>189</v>
      </c>
      <c r="B52" s="87" t="s">
        <v>268</v>
      </c>
      <c r="C52" s="106">
        <v>35000</v>
      </c>
      <c r="D52" s="207">
        <v>0.27</v>
      </c>
      <c r="E52" s="106">
        <v>12</v>
      </c>
      <c r="F52" s="198">
        <f>SUM(C52*E52)</f>
        <v>420000</v>
      </c>
      <c r="H52" s="510">
        <v>0.27</v>
      </c>
      <c r="I52" s="535">
        <f t="shared" si="1"/>
        <v>113400.00000000001</v>
      </c>
    </row>
    <row r="53" spans="1:9" ht="15" customHeight="1" x14ac:dyDescent="0.2">
      <c r="A53" s="86" t="s">
        <v>191</v>
      </c>
      <c r="B53" s="87" t="s">
        <v>269</v>
      </c>
      <c r="C53" s="106">
        <v>200000</v>
      </c>
      <c r="D53" s="207">
        <v>0.27</v>
      </c>
      <c r="E53" s="106">
        <v>12</v>
      </c>
      <c r="F53" s="198">
        <f>SUM(C53*E53)</f>
        <v>2400000</v>
      </c>
      <c r="H53" s="510">
        <v>0.27</v>
      </c>
      <c r="I53" s="535">
        <f t="shared" si="1"/>
        <v>648000</v>
      </c>
    </row>
    <row r="54" spans="1:9" ht="15" customHeight="1" x14ac:dyDescent="0.2">
      <c r="A54" s="114" t="s">
        <v>400</v>
      </c>
      <c r="B54" s="211" t="s">
        <v>280</v>
      </c>
      <c r="C54" s="383">
        <v>10000</v>
      </c>
      <c r="D54" s="207">
        <v>0.27</v>
      </c>
      <c r="E54" s="383">
        <v>12</v>
      </c>
      <c r="F54" s="198">
        <f>SUM(C54*E54)</f>
        <v>120000</v>
      </c>
      <c r="H54" s="510">
        <v>0.27</v>
      </c>
      <c r="I54" s="535">
        <f t="shared" si="1"/>
        <v>32400.000000000004</v>
      </c>
    </row>
    <row r="55" spans="1:9" ht="15" customHeight="1" x14ac:dyDescent="0.2">
      <c r="A55" s="114" t="s">
        <v>187</v>
      </c>
      <c r="B55" s="878" t="s">
        <v>288</v>
      </c>
      <c r="C55" s="878"/>
      <c r="D55" s="878"/>
      <c r="E55" s="878"/>
      <c r="F55" s="199">
        <f>SUM(F52:F54)</f>
        <v>2940000</v>
      </c>
      <c r="I55" s="535"/>
    </row>
    <row r="56" spans="1:9" ht="15.95" customHeight="1" x14ac:dyDescent="0.2">
      <c r="A56" s="898" t="s">
        <v>197</v>
      </c>
      <c r="B56" s="87" t="s">
        <v>565</v>
      </c>
      <c r="C56" s="106">
        <v>8500</v>
      </c>
      <c r="D56" s="207">
        <v>0.27</v>
      </c>
      <c r="E56" s="106">
        <v>12</v>
      </c>
      <c r="F56" s="198">
        <f>SUM(C56*E56)</f>
        <v>102000</v>
      </c>
      <c r="H56" s="510">
        <v>0.27</v>
      </c>
      <c r="I56" s="535">
        <f t="shared" si="1"/>
        <v>27540</v>
      </c>
    </row>
    <row r="57" spans="1:9" ht="15.95" customHeight="1" x14ac:dyDescent="0.2">
      <c r="A57" s="898"/>
      <c r="B57" s="87" t="s">
        <v>566</v>
      </c>
      <c r="C57" s="106">
        <v>8100</v>
      </c>
      <c r="D57" s="207">
        <v>0.27</v>
      </c>
      <c r="E57" s="106">
        <v>4</v>
      </c>
      <c r="F57" s="198">
        <f>SUM(C57*E57)</f>
        <v>32400</v>
      </c>
      <c r="H57" s="510">
        <v>0.27</v>
      </c>
      <c r="I57" s="535">
        <f t="shared" si="1"/>
        <v>8748</v>
      </c>
    </row>
    <row r="58" spans="1:9" ht="15.95" customHeight="1" x14ac:dyDescent="0.2">
      <c r="A58" s="898"/>
      <c r="B58" s="87" t="s">
        <v>567</v>
      </c>
      <c r="C58" s="106"/>
      <c r="D58" s="207"/>
      <c r="E58" s="106"/>
      <c r="F58" s="198">
        <v>15600</v>
      </c>
      <c r="H58" s="510">
        <v>0.27</v>
      </c>
      <c r="I58" s="535">
        <f t="shared" si="1"/>
        <v>4212</v>
      </c>
    </row>
    <row r="59" spans="1:9" ht="15.95" customHeight="1" x14ac:dyDescent="0.2">
      <c r="A59" s="898"/>
      <c r="B59" s="858" t="s">
        <v>322</v>
      </c>
      <c r="C59" s="858"/>
      <c r="D59" s="858"/>
      <c r="E59" s="858"/>
      <c r="F59" s="199">
        <f>SUM(F56:F58)</f>
        <v>150000</v>
      </c>
      <c r="I59" s="535">
        <f t="shared" si="1"/>
        <v>0</v>
      </c>
    </row>
    <row r="60" spans="1:9" ht="15.95" customHeight="1" x14ac:dyDescent="0.2">
      <c r="A60" s="909" t="s">
        <v>199</v>
      </c>
      <c r="B60" s="87" t="s">
        <v>568</v>
      </c>
      <c r="C60" s="210">
        <v>30000</v>
      </c>
      <c r="D60" s="207">
        <v>0.27</v>
      </c>
      <c r="E60" s="210">
        <v>12</v>
      </c>
      <c r="F60" s="198">
        <f>SUM(C60*E60)</f>
        <v>360000</v>
      </c>
      <c r="H60" s="510">
        <v>0.27</v>
      </c>
      <c r="I60" s="535">
        <f t="shared" si="1"/>
        <v>97200</v>
      </c>
    </row>
    <row r="61" spans="1:9" ht="15.95" customHeight="1" x14ac:dyDescent="0.2">
      <c r="A61" s="910"/>
      <c r="B61" s="87" t="s">
        <v>569</v>
      </c>
      <c r="C61" s="210"/>
      <c r="D61" s="207"/>
      <c r="E61" s="210"/>
      <c r="F61" s="198">
        <v>200000</v>
      </c>
      <c r="H61" s="510">
        <v>0.27</v>
      </c>
      <c r="I61" s="535">
        <f t="shared" si="1"/>
        <v>54000</v>
      </c>
    </row>
    <row r="62" spans="1:9" ht="15.95" customHeight="1" x14ac:dyDescent="0.2">
      <c r="A62" s="910"/>
      <c r="B62" s="87" t="s">
        <v>592</v>
      </c>
      <c r="C62" s="210"/>
      <c r="D62" s="207"/>
      <c r="E62" s="210"/>
      <c r="F62" s="198">
        <v>250000</v>
      </c>
      <c r="H62" s="510">
        <v>0.27</v>
      </c>
      <c r="I62" s="535">
        <f t="shared" si="1"/>
        <v>67500</v>
      </c>
    </row>
    <row r="63" spans="1:9" ht="15.95" customHeight="1" x14ac:dyDescent="0.2">
      <c r="A63" s="911"/>
      <c r="B63" s="858" t="s">
        <v>200</v>
      </c>
      <c r="C63" s="858" t="s">
        <v>402</v>
      </c>
      <c r="D63" s="858">
        <v>0.27</v>
      </c>
      <c r="E63" s="858"/>
      <c r="F63" s="199">
        <f>SUM(F60:F62)</f>
        <v>810000</v>
      </c>
      <c r="I63" s="535"/>
    </row>
    <row r="64" spans="1:9" ht="15.95" customHeight="1" x14ac:dyDescent="0.2">
      <c r="A64" s="909">
        <v>53351</v>
      </c>
      <c r="B64" s="87" t="s">
        <v>647</v>
      </c>
      <c r="C64" s="210"/>
      <c r="D64" s="207"/>
      <c r="E64" s="210"/>
      <c r="F64" s="198">
        <v>400000</v>
      </c>
      <c r="H64" s="510">
        <v>0.27</v>
      </c>
      <c r="I64" s="535">
        <f t="shared" si="1"/>
        <v>108000</v>
      </c>
    </row>
    <row r="65" spans="1:9" ht="15.95" customHeight="1" x14ac:dyDescent="0.2">
      <c r="A65" s="910"/>
      <c r="B65" s="87" t="s">
        <v>648</v>
      </c>
      <c r="C65" s="210"/>
      <c r="D65" s="207"/>
      <c r="E65" s="210"/>
      <c r="F65" s="198">
        <v>30000</v>
      </c>
      <c r="H65" s="510">
        <v>0.27</v>
      </c>
      <c r="I65" s="535">
        <f t="shared" si="1"/>
        <v>8100.0000000000009</v>
      </c>
    </row>
    <row r="66" spans="1:9" ht="15.95" customHeight="1" x14ac:dyDescent="0.2">
      <c r="A66" s="910"/>
      <c r="B66" s="87" t="s">
        <v>649</v>
      </c>
      <c r="C66" s="210"/>
      <c r="D66" s="207"/>
      <c r="E66" s="210"/>
      <c r="F66" s="198">
        <v>300000</v>
      </c>
      <c r="H66" s="510">
        <v>0.27</v>
      </c>
      <c r="I66" s="535">
        <f t="shared" si="1"/>
        <v>81000</v>
      </c>
    </row>
    <row r="67" spans="1:9" ht="15.95" customHeight="1" x14ac:dyDescent="0.2">
      <c r="A67" s="910"/>
      <c r="B67" s="87" t="s">
        <v>650</v>
      </c>
      <c r="C67" s="210"/>
      <c r="D67" s="207"/>
      <c r="E67" s="210"/>
      <c r="F67" s="198">
        <v>200000</v>
      </c>
      <c r="H67" s="510">
        <v>0.27</v>
      </c>
      <c r="I67" s="535">
        <f t="shared" si="1"/>
        <v>54000</v>
      </c>
    </row>
    <row r="68" spans="1:9" ht="15.95" customHeight="1" x14ac:dyDescent="0.2">
      <c r="A68" s="910"/>
      <c r="B68" s="87" t="s">
        <v>651</v>
      </c>
      <c r="C68" s="210"/>
      <c r="D68" s="207"/>
      <c r="E68" s="210"/>
      <c r="F68" s="198">
        <v>450000</v>
      </c>
      <c r="H68" s="510">
        <v>0.27</v>
      </c>
      <c r="I68" s="535">
        <f t="shared" si="1"/>
        <v>121500.00000000001</v>
      </c>
    </row>
    <row r="69" spans="1:9" ht="15.95" customHeight="1" x14ac:dyDescent="0.2">
      <c r="A69" s="910"/>
      <c r="B69" s="87" t="s">
        <v>652</v>
      </c>
      <c r="C69" s="210"/>
      <c r="D69" s="207"/>
      <c r="E69" s="210"/>
      <c r="F69" s="198">
        <v>160000</v>
      </c>
      <c r="H69" s="510">
        <v>0.27</v>
      </c>
      <c r="I69" s="535">
        <f t="shared" si="1"/>
        <v>43200</v>
      </c>
    </row>
    <row r="70" spans="1:9" ht="15.95" customHeight="1" x14ac:dyDescent="0.2">
      <c r="A70" s="910"/>
      <c r="B70" s="87" t="s">
        <v>653</v>
      </c>
      <c r="C70" s="210"/>
      <c r="D70" s="207"/>
      <c r="E70" s="210"/>
      <c r="F70" s="198">
        <v>600000</v>
      </c>
      <c r="H70" s="510">
        <v>0.27</v>
      </c>
      <c r="I70" s="535">
        <f t="shared" si="1"/>
        <v>162000</v>
      </c>
    </row>
    <row r="71" spans="1:9" ht="15.95" customHeight="1" x14ac:dyDescent="0.2">
      <c r="A71" s="910"/>
      <c r="B71" s="87" t="s">
        <v>691</v>
      </c>
      <c r="C71" s="210"/>
      <c r="D71" s="546"/>
      <c r="E71" s="210"/>
      <c r="F71" s="198">
        <v>400000</v>
      </c>
      <c r="H71" s="510">
        <v>0.27</v>
      </c>
      <c r="I71" s="535">
        <f t="shared" si="1"/>
        <v>108000</v>
      </c>
    </row>
    <row r="72" spans="1:9" ht="15.95" customHeight="1" x14ac:dyDescent="0.2">
      <c r="A72" s="910"/>
      <c r="B72" s="87" t="s">
        <v>692</v>
      </c>
      <c r="C72" s="210"/>
      <c r="D72" s="546"/>
      <c r="E72" s="210"/>
      <c r="F72" s="198">
        <v>120000</v>
      </c>
      <c r="H72" s="510">
        <v>1.27</v>
      </c>
      <c r="I72" s="535">
        <f t="shared" ref="I72:I73" si="2">SUM(F72*H72)</f>
        <v>152400</v>
      </c>
    </row>
    <row r="73" spans="1:9" ht="15.95" customHeight="1" x14ac:dyDescent="0.2">
      <c r="A73" s="910"/>
      <c r="B73" s="87"/>
      <c r="C73" s="210"/>
      <c r="D73" s="546"/>
      <c r="E73" s="210"/>
      <c r="F73" s="198">
        <v>340000</v>
      </c>
      <c r="H73" s="510">
        <v>2.27</v>
      </c>
      <c r="I73" s="535">
        <f t="shared" si="2"/>
        <v>771800</v>
      </c>
    </row>
    <row r="74" spans="1:9" ht="15.95" customHeight="1" x14ac:dyDescent="0.2">
      <c r="A74" s="911"/>
      <c r="B74" s="858" t="s">
        <v>395</v>
      </c>
      <c r="C74" s="858" t="s">
        <v>403</v>
      </c>
      <c r="D74" s="858">
        <v>0.27</v>
      </c>
      <c r="E74" s="858"/>
      <c r="F74" s="199">
        <f>SUM(F64:F73)</f>
        <v>3000000</v>
      </c>
      <c r="I74" s="535"/>
    </row>
    <row r="75" spans="1:9" ht="15" customHeight="1" x14ac:dyDescent="0.2">
      <c r="A75" s="872" t="s">
        <v>201</v>
      </c>
      <c r="B75" s="204" t="s">
        <v>323</v>
      </c>
      <c r="C75" s="106">
        <v>324000</v>
      </c>
      <c r="D75" s="207">
        <v>0</v>
      </c>
      <c r="E75" s="106">
        <v>4</v>
      </c>
      <c r="F75" s="198">
        <f>SUM(C75*E75)</f>
        <v>1296000</v>
      </c>
      <c r="H75" s="510">
        <v>0</v>
      </c>
      <c r="I75" s="535">
        <f>SUM(F75*H75)</f>
        <v>0</v>
      </c>
    </row>
    <row r="76" spans="1:9" ht="15" customHeight="1" x14ac:dyDescent="0.2">
      <c r="A76" s="872"/>
      <c r="B76" s="208" t="s">
        <v>654</v>
      </c>
      <c r="C76" s="106">
        <v>240000</v>
      </c>
      <c r="D76" s="207">
        <v>0.27</v>
      </c>
      <c r="E76" s="106">
        <v>4</v>
      </c>
      <c r="F76" s="198">
        <f t="shared" ref="F76:F77" si="3">SUM(C76*E76)</f>
        <v>960000</v>
      </c>
      <c r="H76" s="510">
        <v>0.27</v>
      </c>
      <c r="I76" s="535">
        <f t="shared" si="1"/>
        <v>259200.00000000003</v>
      </c>
    </row>
    <row r="77" spans="1:9" ht="15" customHeight="1" x14ac:dyDescent="0.2">
      <c r="A77" s="872"/>
      <c r="B77" s="208" t="s">
        <v>689</v>
      </c>
      <c r="C77" s="106">
        <v>200000</v>
      </c>
      <c r="D77" s="207">
        <v>0.27</v>
      </c>
      <c r="E77" s="106">
        <v>4</v>
      </c>
      <c r="F77" s="198">
        <f t="shared" si="3"/>
        <v>800000</v>
      </c>
      <c r="H77" s="510">
        <v>0.27</v>
      </c>
      <c r="I77" s="535">
        <f t="shared" si="1"/>
        <v>216000</v>
      </c>
    </row>
    <row r="78" spans="1:9" ht="15" customHeight="1" x14ac:dyDescent="0.2">
      <c r="A78" s="872"/>
      <c r="B78" s="208" t="s">
        <v>690</v>
      </c>
      <c r="C78" s="106"/>
      <c r="D78" s="207"/>
      <c r="E78" s="106"/>
      <c r="F78" s="198">
        <v>100000</v>
      </c>
      <c r="I78" s="535"/>
    </row>
    <row r="79" spans="1:9" ht="15" customHeight="1" x14ac:dyDescent="0.2">
      <c r="A79" s="872"/>
      <c r="B79" s="208" t="s">
        <v>324</v>
      </c>
      <c r="C79" s="106"/>
      <c r="D79" s="207">
        <v>0.27</v>
      </c>
      <c r="E79" s="106"/>
      <c r="F79" s="198">
        <v>4000</v>
      </c>
      <c r="I79" s="535">
        <f t="shared" si="1"/>
        <v>0</v>
      </c>
    </row>
    <row r="80" spans="1:9" ht="15" customHeight="1" x14ac:dyDescent="0.2">
      <c r="A80" s="936"/>
      <c r="B80" s="878" t="s">
        <v>325</v>
      </c>
      <c r="C80" s="878"/>
      <c r="D80" s="878"/>
      <c r="E80" s="878"/>
      <c r="F80" s="199">
        <f>SUM(F75:F79)</f>
        <v>3160000</v>
      </c>
      <c r="I80" s="535">
        <f t="shared" si="1"/>
        <v>0</v>
      </c>
    </row>
    <row r="81" spans="1:11" ht="15" customHeight="1" x14ac:dyDescent="0.2">
      <c r="A81" s="909" t="s">
        <v>205</v>
      </c>
      <c r="B81" s="204" t="s">
        <v>570</v>
      </c>
      <c r="C81" s="106">
        <v>10000</v>
      </c>
      <c r="D81" s="106" t="s">
        <v>562</v>
      </c>
      <c r="E81" s="106">
        <v>12</v>
      </c>
      <c r="F81" s="198">
        <f>SUM(C81*E81)</f>
        <v>120000</v>
      </c>
      <c r="I81" s="535">
        <f t="shared" si="1"/>
        <v>0</v>
      </c>
    </row>
    <row r="82" spans="1:11" ht="15" customHeight="1" x14ac:dyDescent="0.2">
      <c r="A82" s="910"/>
      <c r="B82" s="204" t="s">
        <v>207</v>
      </c>
      <c r="C82" s="106">
        <v>80000</v>
      </c>
      <c r="D82" s="106"/>
      <c r="E82" s="106">
        <v>4</v>
      </c>
      <c r="F82" s="198">
        <f>SUM(C82*E82)</f>
        <v>320000</v>
      </c>
      <c r="I82" s="535">
        <f t="shared" si="1"/>
        <v>0</v>
      </c>
      <c r="J82" s="111"/>
    </row>
    <row r="83" spans="1:11" ht="15" customHeight="1" x14ac:dyDescent="0.2">
      <c r="A83" s="910"/>
      <c r="B83" s="204" t="s">
        <v>349</v>
      </c>
      <c r="C83" s="106">
        <v>14000</v>
      </c>
      <c r="D83" s="207">
        <v>0.27</v>
      </c>
      <c r="E83" s="106">
        <v>4</v>
      </c>
      <c r="F83" s="198">
        <f>SUM(C83*E83)</f>
        <v>56000</v>
      </c>
      <c r="H83" s="510">
        <v>0.27</v>
      </c>
      <c r="I83" s="535">
        <f t="shared" si="1"/>
        <v>15120.000000000002</v>
      </c>
      <c r="J83" s="111"/>
    </row>
    <row r="84" spans="1:11" ht="15" customHeight="1" x14ac:dyDescent="0.2">
      <c r="A84" s="910"/>
      <c r="B84" s="204" t="s">
        <v>612</v>
      </c>
      <c r="C84" s="106">
        <v>270000</v>
      </c>
      <c r="D84" s="207">
        <v>0.27</v>
      </c>
      <c r="E84" s="106">
        <v>4</v>
      </c>
      <c r="F84" s="198">
        <f>SUM(C84*E84)</f>
        <v>1080000</v>
      </c>
      <c r="H84" s="510">
        <v>0.27</v>
      </c>
      <c r="I84" s="535">
        <f t="shared" si="1"/>
        <v>291600</v>
      </c>
      <c r="J84" s="111"/>
    </row>
    <row r="85" spans="1:11" ht="15" customHeight="1" x14ac:dyDescent="0.2">
      <c r="A85" s="910"/>
      <c r="B85" s="204" t="s">
        <v>208</v>
      </c>
      <c r="C85" s="106"/>
      <c r="D85" s="197" t="s">
        <v>326</v>
      </c>
      <c r="E85" s="106"/>
      <c r="F85" s="198">
        <v>700000</v>
      </c>
      <c r="I85" s="535">
        <f t="shared" si="1"/>
        <v>0</v>
      </c>
    </row>
    <row r="86" spans="1:11" ht="15" customHeight="1" x14ac:dyDescent="0.2">
      <c r="A86" s="910"/>
      <c r="B86" s="204" t="s">
        <v>583</v>
      </c>
      <c r="C86" s="106"/>
      <c r="D86" s="197" t="s">
        <v>326</v>
      </c>
      <c r="E86" s="106"/>
      <c r="F86" s="198">
        <v>1500000</v>
      </c>
      <c r="I86" s="535">
        <f t="shared" si="1"/>
        <v>0</v>
      </c>
    </row>
    <row r="87" spans="1:11" ht="15" customHeight="1" x14ac:dyDescent="0.2">
      <c r="A87" s="910"/>
      <c r="B87" s="204" t="s">
        <v>584</v>
      </c>
      <c r="C87" s="106"/>
      <c r="D87" s="207">
        <v>0.27</v>
      </c>
      <c r="E87" s="106"/>
      <c r="F87" s="198">
        <v>1344000</v>
      </c>
      <c r="H87" s="510">
        <v>0.27</v>
      </c>
      <c r="I87" s="535">
        <f>SUM(F87*H87)</f>
        <v>362880</v>
      </c>
    </row>
    <row r="88" spans="1:11" ht="15" customHeight="1" x14ac:dyDescent="0.2">
      <c r="A88" s="911"/>
      <c r="B88" s="205" t="s">
        <v>327</v>
      </c>
      <c r="C88" s="201"/>
      <c r="D88" s="201"/>
      <c r="E88" s="201"/>
      <c r="F88" s="199">
        <f>SUM(F81:F87)</f>
        <v>5120000</v>
      </c>
      <c r="I88" s="535">
        <f t="shared" si="1"/>
        <v>0</v>
      </c>
    </row>
    <row r="89" spans="1:11" ht="15" customHeight="1" x14ac:dyDescent="0.2">
      <c r="A89" s="101" t="s">
        <v>292</v>
      </c>
      <c r="B89" s="205" t="s">
        <v>404</v>
      </c>
      <c r="C89" s="201"/>
      <c r="D89" s="201"/>
      <c r="E89" s="201"/>
      <c r="F89" s="199">
        <v>0</v>
      </c>
      <c r="I89" s="535">
        <f t="shared" si="1"/>
        <v>0</v>
      </c>
    </row>
    <row r="90" spans="1:11" ht="18" customHeight="1" x14ac:dyDescent="0.2">
      <c r="A90" s="114" t="s">
        <v>213</v>
      </c>
      <c r="B90" s="858" t="s">
        <v>328</v>
      </c>
      <c r="C90" s="858"/>
      <c r="D90" s="858"/>
      <c r="E90" s="858"/>
      <c r="F90" s="199">
        <v>4000000</v>
      </c>
      <c r="G90" s="212"/>
      <c r="H90" s="516" t="s">
        <v>329</v>
      </c>
      <c r="I90" s="732">
        <f>SUM(I37:I89)</f>
        <v>4454280</v>
      </c>
      <c r="K90" s="111"/>
    </row>
    <row r="91" spans="1:11" ht="18" customHeight="1" x14ac:dyDescent="0.2">
      <c r="A91" s="86" t="s">
        <v>215</v>
      </c>
      <c r="B91" s="284" t="s">
        <v>216</v>
      </c>
      <c r="C91" s="285"/>
      <c r="D91" s="285"/>
      <c r="E91" s="285"/>
      <c r="F91" s="270">
        <v>4400000</v>
      </c>
      <c r="G91" s="460"/>
    </row>
    <row r="92" spans="1:11" ht="17.25" customHeight="1" x14ac:dyDescent="0.2">
      <c r="A92" s="86" t="s">
        <v>217</v>
      </c>
      <c r="B92" s="284" t="s">
        <v>218</v>
      </c>
      <c r="C92" s="285"/>
      <c r="D92" s="285"/>
      <c r="E92" s="285"/>
      <c r="F92" s="270">
        <v>10000</v>
      </c>
    </row>
    <row r="93" spans="1:11" ht="18" customHeight="1" x14ac:dyDescent="0.2">
      <c r="A93" s="86" t="s">
        <v>219</v>
      </c>
      <c r="B93" s="859" t="s">
        <v>220</v>
      </c>
      <c r="C93" s="859"/>
      <c r="D93" s="859"/>
      <c r="E93" s="859"/>
      <c r="F93" s="859"/>
    </row>
    <row r="94" spans="1:11" ht="18" customHeight="1" x14ac:dyDescent="0.2">
      <c r="A94" s="86"/>
      <c r="B94" s="211" t="s">
        <v>716</v>
      </c>
      <c r="C94" s="211"/>
      <c r="D94" s="211"/>
      <c r="E94" s="211"/>
      <c r="F94" s="198">
        <v>30000</v>
      </c>
    </row>
    <row r="95" spans="1:11" ht="18" customHeight="1" x14ac:dyDescent="0.2">
      <c r="A95" s="86"/>
      <c r="B95" s="211" t="s">
        <v>585</v>
      </c>
      <c r="C95" s="211">
        <v>96000</v>
      </c>
      <c r="D95" s="211"/>
      <c r="E95" s="211">
        <v>4</v>
      </c>
      <c r="F95" s="198">
        <f>SUM(C95*E95)</f>
        <v>384000</v>
      </c>
    </row>
    <row r="96" spans="1:11" ht="18" customHeight="1" x14ac:dyDescent="0.2">
      <c r="A96" s="86"/>
      <c r="B96" s="211" t="s">
        <v>715</v>
      </c>
      <c r="C96" s="211"/>
      <c r="D96" s="211"/>
      <c r="E96" s="211"/>
      <c r="F96" s="198">
        <v>5000</v>
      </c>
    </row>
    <row r="97" spans="1:9" ht="18" customHeight="1" x14ac:dyDescent="0.2">
      <c r="A97" s="86"/>
      <c r="B97" s="211" t="s">
        <v>584</v>
      </c>
      <c r="C97" s="211"/>
      <c r="D97" s="211"/>
      <c r="E97" s="211"/>
      <c r="F97" s="198">
        <v>11000</v>
      </c>
    </row>
    <row r="98" spans="1:9" ht="18" customHeight="1" x14ac:dyDescent="0.2">
      <c r="A98" s="114" t="s">
        <v>330</v>
      </c>
      <c r="B98" s="935" t="s">
        <v>331</v>
      </c>
      <c r="C98" s="935"/>
      <c r="D98" s="935"/>
      <c r="E98" s="935"/>
      <c r="F98" s="270">
        <f>SUM(F94:F97)</f>
        <v>430000</v>
      </c>
    </row>
    <row r="99" spans="1:9" ht="30.75" customHeight="1" x14ac:dyDescent="0.2">
      <c r="A99" s="86" t="s">
        <v>234</v>
      </c>
      <c r="B99" s="87" t="s">
        <v>235</v>
      </c>
      <c r="C99" s="106"/>
      <c r="D99" s="106"/>
      <c r="E99" s="106"/>
      <c r="F99" s="198"/>
    </row>
    <row r="100" spans="1:9" ht="18" customHeight="1" x14ac:dyDescent="0.2">
      <c r="A100" s="808" t="s">
        <v>231</v>
      </c>
      <c r="B100" s="859" t="s">
        <v>272</v>
      </c>
      <c r="C100" s="859"/>
      <c r="D100" s="859"/>
      <c r="E100" s="859"/>
      <c r="F100" s="859"/>
    </row>
    <row r="101" spans="1:9" ht="19.5" customHeight="1" x14ac:dyDescent="0.2">
      <c r="A101" s="808"/>
      <c r="B101" s="87"/>
      <c r="C101" s="106"/>
      <c r="D101" s="106"/>
      <c r="E101" s="106"/>
      <c r="F101" s="198">
        <v>0</v>
      </c>
    </row>
    <row r="102" spans="1:9" ht="19.5" customHeight="1" x14ac:dyDescent="0.2">
      <c r="A102" s="808"/>
      <c r="B102" s="931" t="s">
        <v>332</v>
      </c>
      <c r="C102" s="931"/>
      <c r="D102" s="931"/>
      <c r="E102" s="931"/>
      <c r="F102" s="268">
        <f>F101</f>
        <v>0</v>
      </c>
    </row>
    <row r="103" spans="1:9" ht="23.25" customHeight="1" x14ac:dyDescent="0.2">
      <c r="A103" s="102" t="s">
        <v>237</v>
      </c>
      <c r="B103" s="92" t="s">
        <v>238</v>
      </c>
      <c r="C103" s="95"/>
      <c r="D103" s="95"/>
      <c r="E103" s="95"/>
      <c r="F103" s="190"/>
      <c r="H103" s="517"/>
    </row>
    <row r="104" spans="1:9" ht="15.95" customHeight="1" x14ac:dyDescent="0.2">
      <c r="A104" s="941" t="s">
        <v>35</v>
      </c>
      <c r="B104" s="923" t="s">
        <v>712</v>
      </c>
      <c r="C104" s="923"/>
      <c r="D104" s="923"/>
      <c r="E104" s="923"/>
      <c r="F104" s="366">
        <v>17020923</v>
      </c>
      <c r="G104" s="353"/>
      <c r="H104" s="517"/>
      <c r="I104" s="528"/>
    </row>
    <row r="105" spans="1:9" ht="15.95" customHeight="1" x14ac:dyDescent="0.2">
      <c r="A105" s="941"/>
      <c r="B105" s="899" t="s">
        <v>709</v>
      </c>
      <c r="C105" s="899"/>
      <c r="D105" s="899"/>
      <c r="E105" s="899"/>
      <c r="F105" s="198">
        <v>118870369</v>
      </c>
    </row>
    <row r="106" spans="1:9" ht="15.95" customHeight="1" x14ac:dyDescent="0.2">
      <c r="A106" s="941"/>
      <c r="B106" s="899" t="s">
        <v>710</v>
      </c>
      <c r="C106" s="899"/>
      <c r="D106" s="899"/>
      <c r="E106" s="899"/>
      <c r="F106" s="198">
        <v>48270059</v>
      </c>
    </row>
    <row r="107" spans="1:9" ht="15.95" customHeight="1" x14ac:dyDescent="0.2">
      <c r="A107" s="941"/>
      <c r="B107" s="899" t="s">
        <v>664</v>
      </c>
      <c r="C107" s="899"/>
      <c r="D107" s="899"/>
      <c r="E107" s="899"/>
      <c r="F107" s="190">
        <v>9000000</v>
      </c>
    </row>
    <row r="108" spans="1:9" ht="15.95" customHeight="1" x14ac:dyDescent="0.2">
      <c r="A108" s="941"/>
      <c r="B108" s="899" t="s">
        <v>711</v>
      </c>
      <c r="C108" s="899"/>
      <c r="D108" s="899"/>
      <c r="E108" s="899"/>
      <c r="F108" s="190">
        <v>4268960</v>
      </c>
    </row>
    <row r="109" spans="1:9" ht="15.95" customHeight="1" x14ac:dyDescent="0.2">
      <c r="A109" s="941"/>
      <c r="B109" s="899" t="s">
        <v>713</v>
      </c>
      <c r="C109" s="899"/>
      <c r="D109" s="899"/>
      <c r="E109" s="899"/>
      <c r="F109" s="190">
        <v>963930</v>
      </c>
    </row>
    <row r="110" spans="1:9" ht="15.95" customHeight="1" x14ac:dyDescent="0.2">
      <c r="A110" s="941"/>
      <c r="B110" s="899" t="s">
        <v>714</v>
      </c>
      <c r="C110" s="899"/>
      <c r="D110" s="899"/>
      <c r="E110" s="899"/>
      <c r="F110" s="190">
        <v>2500000</v>
      </c>
    </row>
    <row r="111" spans="1:9" ht="15.95" customHeight="1" x14ac:dyDescent="0.2">
      <c r="A111" s="941"/>
      <c r="B111" s="899" t="s">
        <v>512</v>
      </c>
      <c r="C111" s="899"/>
      <c r="D111" s="899"/>
      <c r="E111" s="899"/>
      <c r="F111" s="198">
        <v>48529410</v>
      </c>
      <c r="G111" s="212">
        <f>SUM(F105:F112)</f>
        <v>232626378</v>
      </c>
    </row>
    <row r="112" spans="1:9" ht="15.95" customHeight="1" x14ac:dyDescent="0.2">
      <c r="A112" s="941"/>
      <c r="B112" s="899" t="s">
        <v>601</v>
      </c>
      <c r="C112" s="899"/>
      <c r="D112" s="899"/>
      <c r="E112" s="899"/>
      <c r="F112" s="190">
        <v>223650</v>
      </c>
      <c r="G112" s="212"/>
    </row>
    <row r="113" spans="1:10" ht="15.95" customHeight="1" thickBot="1" x14ac:dyDescent="0.25">
      <c r="A113" s="941"/>
      <c r="B113" s="384" t="s">
        <v>38</v>
      </c>
      <c r="C113" s="385"/>
      <c r="D113" s="385"/>
      <c r="E113" s="386"/>
      <c r="F113" s="387">
        <v>0</v>
      </c>
    </row>
    <row r="114" spans="1:10" ht="15.95" customHeight="1" x14ac:dyDescent="0.2">
      <c r="A114" s="941"/>
      <c r="B114" s="937" t="s">
        <v>333</v>
      </c>
      <c r="C114" s="937"/>
      <c r="D114" s="937"/>
      <c r="E114" s="937"/>
      <c r="F114" s="214">
        <f>SUM(F104:F113)</f>
        <v>249647301</v>
      </c>
      <c r="G114" s="354"/>
    </row>
    <row r="115" spans="1:10" ht="24" customHeight="1" x14ac:dyDescent="0.2">
      <c r="A115" s="86" t="s">
        <v>241</v>
      </c>
      <c r="B115" s="858" t="s">
        <v>475</v>
      </c>
      <c r="C115" s="858" t="s">
        <v>474</v>
      </c>
      <c r="D115" s="858">
        <v>0.27</v>
      </c>
      <c r="E115" s="858"/>
      <c r="F115" s="217">
        <v>1370000</v>
      </c>
      <c r="G115" s="231" t="s">
        <v>613</v>
      </c>
      <c r="H115" s="517"/>
    </row>
    <row r="116" spans="1:10" ht="17.25" customHeight="1" x14ac:dyDescent="0.2">
      <c r="A116" s="86" t="s">
        <v>245</v>
      </c>
      <c r="B116" s="858" t="s">
        <v>246</v>
      </c>
      <c r="C116" s="858"/>
      <c r="D116" s="858">
        <v>0.27</v>
      </c>
      <c r="E116" s="858"/>
      <c r="F116" s="217">
        <v>150000</v>
      </c>
      <c r="G116" s="212"/>
    </row>
    <row r="117" spans="1:10" ht="17.25" customHeight="1" x14ac:dyDescent="0.2">
      <c r="A117" s="86" t="s">
        <v>247</v>
      </c>
      <c r="B117" s="858" t="s">
        <v>248</v>
      </c>
      <c r="C117" s="858"/>
      <c r="D117" s="858">
        <v>0.27</v>
      </c>
      <c r="E117" s="858"/>
      <c r="F117" s="217">
        <v>100000</v>
      </c>
      <c r="G117" s="212"/>
      <c r="H117" s="657">
        <f>SUM(F115:F117)</f>
        <v>1620000</v>
      </c>
      <c r="I117" s="527">
        <v>0.27</v>
      </c>
      <c r="J117" s="120">
        <f>SUM(H117*I117)</f>
        <v>437400</v>
      </c>
    </row>
    <row r="118" spans="1:10" x14ac:dyDescent="0.2">
      <c r="A118" s="102" t="s">
        <v>249</v>
      </c>
      <c r="B118" s="858" t="s">
        <v>276</v>
      </c>
      <c r="C118" s="858">
        <f>F115+F116+F117</f>
        <v>1620000</v>
      </c>
      <c r="D118" s="858">
        <v>0.27</v>
      </c>
      <c r="E118" s="858">
        <f>C118*D118</f>
        <v>437400</v>
      </c>
      <c r="F118" s="217">
        <v>450000</v>
      </c>
    </row>
    <row r="119" spans="1:10" ht="17.25" customHeight="1" x14ac:dyDescent="0.2">
      <c r="A119" s="102" t="s">
        <v>251</v>
      </c>
      <c r="B119" s="859" t="s">
        <v>252</v>
      </c>
      <c r="C119" s="859"/>
      <c r="D119" s="859"/>
      <c r="E119" s="859"/>
      <c r="F119" s="859"/>
    </row>
    <row r="120" spans="1:10" ht="17.25" customHeight="1" x14ac:dyDescent="0.2">
      <c r="A120" s="200"/>
      <c r="B120" s="159"/>
      <c r="C120" s="95"/>
      <c r="D120" s="216">
        <v>0.27</v>
      </c>
      <c r="E120" s="95"/>
      <c r="F120" s="190">
        <v>0</v>
      </c>
      <c r="G120" s="212"/>
    </row>
    <row r="121" spans="1:10" ht="17.25" customHeight="1" x14ac:dyDescent="0.2">
      <c r="A121" s="150"/>
      <c r="B121" s="858" t="s">
        <v>334</v>
      </c>
      <c r="C121" s="858"/>
      <c r="D121" s="858"/>
      <c r="E121" s="858"/>
      <c r="F121" s="217">
        <f>SUM(F120:F120)</f>
        <v>0</v>
      </c>
      <c r="G121" s="218"/>
    </row>
    <row r="122" spans="1:10" x14ac:dyDescent="0.2">
      <c r="A122" s="101" t="s">
        <v>255</v>
      </c>
      <c r="B122" s="858" t="s">
        <v>277</v>
      </c>
      <c r="C122" s="858">
        <f>F121</f>
        <v>0</v>
      </c>
      <c r="D122" s="858">
        <v>0.27</v>
      </c>
      <c r="E122" s="858">
        <f>C122*D122</f>
        <v>0</v>
      </c>
      <c r="F122" s="217">
        <v>0</v>
      </c>
      <c r="H122" s="513"/>
    </row>
    <row r="123" spans="1:10" ht="27" customHeight="1" x14ac:dyDescent="0.2">
      <c r="A123" s="845" t="s">
        <v>279</v>
      </c>
      <c r="B123" s="845"/>
      <c r="C123" s="845"/>
      <c r="D123" s="845"/>
      <c r="E123" s="845"/>
      <c r="F123" s="220">
        <f>F14+F25+F31+F32+F36+F40+F45+F49+F51+F55+F59+F63+F74+F80+F88+F89+F90+F91+F92+F98+F99+F102+F103+F114+F115+F116+F117+F118+F121+F122</f>
        <v>306701301</v>
      </c>
      <c r="G123" s="212">
        <f>SUM(F123-'Kiadások COFOG szerint'!F56)</f>
        <v>0</v>
      </c>
    </row>
    <row r="124" spans="1:10" ht="26.25" customHeight="1" thickBot="1" x14ac:dyDescent="0.25">
      <c r="A124" s="862" t="s">
        <v>121</v>
      </c>
      <c r="B124" s="862"/>
      <c r="C124" s="862"/>
      <c r="D124" s="862"/>
      <c r="E124" s="862"/>
      <c r="F124" s="862"/>
    </row>
    <row r="125" spans="1:10" ht="19.5" customHeight="1" thickBot="1" x14ac:dyDescent="0.25">
      <c r="A125" s="863" t="s">
        <v>46</v>
      </c>
      <c r="B125" s="864" t="s">
        <v>47</v>
      </c>
      <c r="C125" s="851">
        <v>2023</v>
      </c>
      <c r="D125" s="851"/>
      <c r="E125" s="851"/>
      <c r="F125" s="851"/>
    </row>
    <row r="126" spans="1:10" ht="18" customHeight="1" thickBot="1" x14ac:dyDescent="0.25">
      <c r="A126" s="863"/>
      <c r="B126" s="864"/>
      <c r="C126" s="852"/>
      <c r="D126" s="852"/>
      <c r="E126" s="852"/>
      <c r="F126" s="194" t="s">
        <v>510</v>
      </c>
    </row>
    <row r="127" spans="1:10" ht="15.95" customHeight="1" x14ac:dyDescent="0.2">
      <c r="A127" s="150" t="s">
        <v>170</v>
      </c>
      <c r="B127" s="858" t="s">
        <v>171</v>
      </c>
      <c r="C127" s="858"/>
      <c r="D127" s="858">
        <v>0.27</v>
      </c>
      <c r="E127" s="858"/>
      <c r="F127" s="199">
        <f>SUM(F128)</f>
        <v>50000</v>
      </c>
    </row>
    <row r="128" spans="1:10" ht="15.95" customHeight="1" x14ac:dyDescent="0.2">
      <c r="A128" s="150"/>
      <c r="B128" s="151" t="s">
        <v>584</v>
      </c>
      <c r="C128" s="152"/>
      <c r="D128" s="269"/>
      <c r="E128" s="152"/>
      <c r="F128" s="222">
        <v>50000</v>
      </c>
    </row>
    <row r="129" spans="1:15" ht="15.95" customHeight="1" x14ac:dyDescent="0.2">
      <c r="A129" s="86" t="s">
        <v>189</v>
      </c>
      <c r="B129" s="87" t="s">
        <v>268</v>
      </c>
      <c r="C129" s="106"/>
      <c r="D129" s="207"/>
      <c r="E129" s="106"/>
      <c r="F129" s="198"/>
      <c r="G129" s="344" t="s">
        <v>375</v>
      </c>
      <c r="H129" s="518"/>
      <c r="I129" s="529"/>
      <c r="J129" s="345"/>
      <c r="K129" s="462">
        <f>SUM('Bevételek COFOG szerint 2023'!F48)</f>
        <v>885615</v>
      </c>
      <c r="L129" s="344" t="s">
        <v>373</v>
      </c>
      <c r="M129" s="120"/>
      <c r="O129" s="120"/>
    </row>
    <row r="130" spans="1:15" ht="15.95" customHeight="1" x14ac:dyDescent="0.2">
      <c r="A130" s="86" t="s">
        <v>193</v>
      </c>
      <c r="B130" s="858" t="s">
        <v>280</v>
      </c>
      <c r="C130" s="858"/>
      <c r="D130" s="858">
        <v>0.27</v>
      </c>
      <c r="E130" s="858"/>
      <c r="F130" s="199">
        <v>0</v>
      </c>
      <c r="G130" s="212"/>
    </row>
    <row r="131" spans="1:15" ht="15.95" customHeight="1" x14ac:dyDescent="0.2">
      <c r="A131" s="940" t="s">
        <v>199</v>
      </c>
      <c r="B131" s="859" t="s">
        <v>200</v>
      </c>
      <c r="C131" s="859"/>
      <c r="D131" s="859"/>
      <c r="E131" s="859"/>
      <c r="F131" s="859"/>
      <c r="G131" s="212"/>
    </row>
    <row r="132" spans="1:15" ht="15.95" customHeight="1" x14ac:dyDescent="0.2">
      <c r="A132" s="940"/>
      <c r="B132" s="87"/>
      <c r="C132" s="106"/>
      <c r="D132" s="106"/>
      <c r="E132" s="106"/>
      <c r="F132" s="198">
        <v>100000</v>
      </c>
      <c r="G132" s="212"/>
    </row>
    <row r="133" spans="1:15" ht="15.95" customHeight="1" x14ac:dyDescent="0.2">
      <c r="A133" s="940"/>
      <c r="B133" s="858" t="s">
        <v>335</v>
      </c>
      <c r="C133" s="858"/>
      <c r="D133" s="858"/>
      <c r="E133" s="858"/>
      <c r="F133" s="199">
        <f>SUM(F132)</f>
        <v>100000</v>
      </c>
      <c r="G133" s="212"/>
    </row>
    <row r="134" spans="1:15" ht="15.95" customHeight="1" x14ac:dyDescent="0.2">
      <c r="A134" s="898" t="s">
        <v>205</v>
      </c>
      <c r="B134" s="87" t="s">
        <v>206</v>
      </c>
      <c r="C134" s="106">
        <v>50000</v>
      </c>
      <c r="D134" s="207">
        <v>0.27</v>
      </c>
      <c r="E134" s="106">
        <v>12</v>
      </c>
      <c r="F134" s="198">
        <f>SUM(C134*E134)</f>
        <v>600000</v>
      </c>
      <c r="G134" s="212"/>
    </row>
    <row r="135" spans="1:15" ht="15.95" customHeight="1" x14ac:dyDescent="0.2">
      <c r="A135" s="898"/>
      <c r="B135" s="858" t="s">
        <v>327</v>
      </c>
      <c r="C135" s="858"/>
      <c r="D135" s="858"/>
      <c r="E135" s="858"/>
      <c r="F135" s="199">
        <f>F134</f>
        <v>600000</v>
      </c>
      <c r="G135" s="212"/>
    </row>
    <row r="136" spans="1:15" ht="20.25" customHeight="1" x14ac:dyDescent="0.2">
      <c r="A136" s="86" t="s">
        <v>213</v>
      </c>
      <c r="B136" s="87" t="s">
        <v>271</v>
      </c>
      <c r="C136" s="106">
        <f>F127+F130+F133+F135</f>
        <v>750000</v>
      </c>
      <c r="D136" s="207">
        <v>0.27</v>
      </c>
      <c r="E136" s="106">
        <f>C136*D136</f>
        <v>202500</v>
      </c>
      <c r="F136" s="270">
        <v>202500</v>
      </c>
      <c r="G136" s="221"/>
      <c r="J136" s="111"/>
    </row>
    <row r="137" spans="1:15" ht="19.5" customHeight="1" x14ac:dyDescent="0.2">
      <c r="A137" s="114" t="s">
        <v>247</v>
      </c>
      <c r="B137" s="858" t="s">
        <v>281</v>
      </c>
      <c r="C137" s="858"/>
      <c r="D137" s="858"/>
      <c r="E137" s="858"/>
      <c r="F137" s="199"/>
      <c r="G137" s="212"/>
    </row>
    <row r="138" spans="1:15" x14ac:dyDescent="0.2">
      <c r="A138" s="91" t="s">
        <v>249</v>
      </c>
      <c r="B138" s="858" t="s">
        <v>271</v>
      </c>
      <c r="C138" s="858"/>
      <c r="D138" s="858"/>
      <c r="E138" s="858"/>
      <c r="F138" s="199"/>
      <c r="G138" s="212"/>
    </row>
    <row r="139" spans="1:15" ht="19.5" customHeight="1" x14ac:dyDescent="0.2">
      <c r="A139" s="114" t="s">
        <v>251</v>
      </c>
      <c r="B139" s="858" t="s">
        <v>352</v>
      </c>
      <c r="C139" s="858"/>
      <c r="D139" s="858">
        <v>0.27</v>
      </c>
      <c r="E139" s="858"/>
      <c r="F139" s="199">
        <v>0</v>
      </c>
      <c r="G139" s="212"/>
    </row>
    <row r="140" spans="1:15" ht="23.25" customHeight="1" x14ac:dyDescent="0.2">
      <c r="A140" s="91" t="s">
        <v>255</v>
      </c>
      <c r="B140" s="858" t="s">
        <v>277</v>
      </c>
      <c r="C140" s="858">
        <f>F139</f>
        <v>0</v>
      </c>
      <c r="D140" s="858">
        <v>0.27</v>
      </c>
      <c r="E140" s="858"/>
      <c r="F140" s="199">
        <v>0</v>
      </c>
      <c r="G140" s="212"/>
    </row>
    <row r="141" spans="1:15" ht="21" customHeight="1" x14ac:dyDescent="0.2">
      <c r="A141" s="845" t="s">
        <v>279</v>
      </c>
      <c r="B141" s="845"/>
      <c r="C141" s="845"/>
      <c r="D141" s="845"/>
      <c r="E141" s="845"/>
      <c r="F141" s="220">
        <f>F130+F133+F135+F136+F127+F139+F140+F137+F138</f>
        <v>952500</v>
      </c>
      <c r="G141" s="212">
        <f>SUM(F141-'Kiadások COFOG szerint'!F71)</f>
        <v>0</v>
      </c>
    </row>
    <row r="142" spans="1:15" ht="26.25" customHeight="1" thickBot="1" x14ac:dyDescent="0.25">
      <c r="A142" s="853" t="s">
        <v>282</v>
      </c>
      <c r="B142" s="853"/>
      <c r="C142" s="853"/>
      <c r="D142" s="853"/>
      <c r="E142" s="853"/>
      <c r="F142" s="853"/>
    </row>
    <row r="143" spans="1:15" ht="17.25" customHeight="1" thickBot="1" x14ac:dyDescent="0.25">
      <c r="A143" s="863" t="s">
        <v>46</v>
      </c>
      <c r="B143" s="864" t="s">
        <v>47</v>
      </c>
      <c r="C143" s="851">
        <v>2023</v>
      </c>
      <c r="D143" s="851"/>
      <c r="E143" s="851"/>
      <c r="F143" s="851"/>
    </row>
    <row r="144" spans="1:15" ht="21.75" customHeight="1" thickBot="1" x14ac:dyDescent="0.25">
      <c r="A144" s="863"/>
      <c r="B144" s="864"/>
      <c r="C144" s="852" t="s">
        <v>614</v>
      </c>
      <c r="D144" s="852"/>
      <c r="E144" s="852"/>
      <c r="F144" s="194" t="s">
        <v>510</v>
      </c>
    </row>
    <row r="145" spans="1:10" ht="15" customHeight="1" x14ac:dyDescent="0.2">
      <c r="A145" s="327" t="s">
        <v>170</v>
      </c>
      <c r="B145" s="151" t="s">
        <v>171</v>
      </c>
      <c r="C145" s="152">
        <v>40000</v>
      </c>
      <c r="D145" s="269">
        <v>0.27</v>
      </c>
      <c r="E145" s="152"/>
      <c r="F145" s="760">
        <v>50000</v>
      </c>
      <c r="H145" s="510">
        <v>0.27</v>
      </c>
      <c r="I145" s="77">
        <f>SUM(C145*D145)</f>
        <v>10800</v>
      </c>
    </row>
    <row r="146" spans="1:10" ht="15" customHeight="1" x14ac:dyDescent="0.2">
      <c r="A146" s="114" t="s">
        <v>189</v>
      </c>
      <c r="B146" s="87" t="s">
        <v>406</v>
      </c>
      <c r="C146" s="106">
        <v>40000</v>
      </c>
      <c r="D146" s="269">
        <v>0.27</v>
      </c>
      <c r="E146" s="106">
        <v>12</v>
      </c>
      <c r="F146" s="198">
        <f>SUM(C146*E146)</f>
        <v>480000</v>
      </c>
      <c r="H146" s="510">
        <v>0.27</v>
      </c>
      <c r="I146" s="77">
        <f>SUM(C146*D146)</f>
        <v>10800</v>
      </c>
    </row>
    <row r="147" spans="1:10" ht="15" customHeight="1" x14ac:dyDescent="0.2">
      <c r="A147" s="114" t="s">
        <v>191</v>
      </c>
      <c r="B147" s="87" t="s">
        <v>407</v>
      </c>
      <c r="C147" s="106">
        <v>80000</v>
      </c>
      <c r="D147" s="269">
        <v>0.27</v>
      </c>
      <c r="E147" s="106">
        <v>12</v>
      </c>
      <c r="F147" s="198">
        <f>SUM(C147*E147)</f>
        <v>960000</v>
      </c>
      <c r="H147" s="510">
        <v>0.27</v>
      </c>
      <c r="I147" s="77">
        <f t="shared" ref="I147:I151" si="4">SUM(C147*D147)</f>
        <v>21600</v>
      </c>
    </row>
    <row r="148" spans="1:10" ht="15" customHeight="1" x14ac:dyDescent="0.2">
      <c r="A148" s="114" t="s">
        <v>193</v>
      </c>
      <c r="B148" s="87" t="s">
        <v>408</v>
      </c>
      <c r="C148" s="106">
        <v>12000</v>
      </c>
      <c r="D148" s="269">
        <v>0.27</v>
      </c>
      <c r="E148" s="106">
        <v>12</v>
      </c>
      <c r="F148" s="198">
        <f>SUM(C148*E148)</f>
        <v>144000</v>
      </c>
      <c r="H148" s="510">
        <v>0.27</v>
      </c>
      <c r="I148" s="77">
        <f t="shared" si="4"/>
        <v>3240</v>
      </c>
    </row>
    <row r="149" spans="1:10" ht="15" customHeight="1" x14ac:dyDescent="0.2">
      <c r="A149" s="114" t="s">
        <v>187</v>
      </c>
      <c r="B149" s="87" t="s">
        <v>288</v>
      </c>
      <c r="C149" s="106"/>
      <c r="D149" s="269"/>
      <c r="E149" s="106"/>
      <c r="F149" s="270">
        <f>SUM(F146:F148)</f>
        <v>1584000</v>
      </c>
      <c r="I149" s="77"/>
    </row>
    <row r="150" spans="1:10" ht="15" customHeight="1" x14ac:dyDescent="0.2">
      <c r="A150" s="114" t="s">
        <v>199</v>
      </c>
      <c r="B150" s="87" t="s">
        <v>405</v>
      </c>
      <c r="C150" s="106">
        <v>50000</v>
      </c>
      <c r="D150" s="269">
        <v>0.27</v>
      </c>
      <c r="E150" s="106">
        <v>1</v>
      </c>
      <c r="F150" s="270">
        <f>SUM(C150*E150)</f>
        <v>50000</v>
      </c>
      <c r="I150" s="77">
        <f t="shared" si="4"/>
        <v>13500</v>
      </c>
    </row>
    <row r="151" spans="1:10" ht="15" customHeight="1" x14ac:dyDescent="0.2">
      <c r="A151" s="91" t="s">
        <v>205</v>
      </c>
      <c r="B151" s="92" t="s">
        <v>409</v>
      </c>
      <c r="C151" s="95">
        <v>150000</v>
      </c>
      <c r="D151" s="269">
        <v>0.27</v>
      </c>
      <c r="E151" s="95"/>
      <c r="F151" s="559">
        <v>150000</v>
      </c>
      <c r="H151" s="510">
        <v>0.27</v>
      </c>
      <c r="I151" s="77">
        <f t="shared" si="4"/>
        <v>40500</v>
      </c>
    </row>
    <row r="152" spans="1:10" ht="22.5" customHeight="1" x14ac:dyDescent="0.2">
      <c r="A152" s="91" t="s">
        <v>213</v>
      </c>
      <c r="B152" s="92" t="s">
        <v>271</v>
      </c>
      <c r="C152" s="95"/>
      <c r="D152" s="269">
        <v>0.27</v>
      </c>
      <c r="E152" s="95"/>
      <c r="F152" s="559">
        <v>100440</v>
      </c>
      <c r="I152" s="547">
        <f>SUM(I145:I151)</f>
        <v>100440</v>
      </c>
      <c r="J152" s="547"/>
    </row>
    <row r="153" spans="1:10" ht="15" customHeight="1" x14ac:dyDescent="0.2">
      <c r="A153" s="91" t="s">
        <v>243</v>
      </c>
      <c r="B153" s="92" t="s">
        <v>537</v>
      </c>
      <c r="C153" s="227" t="s">
        <v>538</v>
      </c>
      <c r="D153" s="269"/>
      <c r="E153" s="95"/>
      <c r="F153" s="559"/>
      <c r="I153" s="530"/>
      <c r="J153" s="160"/>
    </row>
    <row r="154" spans="1:10" ht="18" customHeight="1" x14ac:dyDescent="0.2">
      <c r="A154" s="91" t="s">
        <v>251</v>
      </c>
      <c r="B154" s="92" t="s">
        <v>352</v>
      </c>
      <c r="C154" s="95" t="s">
        <v>532</v>
      </c>
      <c r="D154" s="269">
        <v>0.27</v>
      </c>
      <c r="E154" s="95"/>
      <c r="F154" s="559"/>
      <c r="I154" s="530"/>
      <c r="J154" s="160"/>
    </row>
    <row r="155" spans="1:10" ht="22.5" customHeight="1" thickBot="1" x14ac:dyDescent="0.25">
      <c r="A155" s="91" t="s">
        <v>255</v>
      </c>
      <c r="B155" s="92" t="s">
        <v>277</v>
      </c>
      <c r="C155" s="95"/>
      <c r="D155" s="269">
        <v>0.27</v>
      </c>
      <c r="E155" s="95"/>
      <c r="F155" s="559"/>
      <c r="I155" s="530"/>
      <c r="J155" s="160"/>
    </row>
    <row r="156" spans="1:10" ht="19.5" customHeight="1" thickBot="1" x14ac:dyDescent="0.25">
      <c r="A156" s="845" t="s">
        <v>279</v>
      </c>
      <c r="B156" s="845"/>
      <c r="C156" s="845"/>
      <c r="D156" s="845"/>
      <c r="E156" s="845"/>
      <c r="F156" s="220">
        <f>SUM(F145+F149+F150+F151+F152+F153+F154+F155)</f>
        <v>1934440</v>
      </c>
      <c r="G156" s="212">
        <f>SUM(F156-'Kiadások COFOG szerint'!F86)</f>
        <v>0</v>
      </c>
    </row>
    <row r="157" spans="1:10" ht="21.75" customHeight="1" thickBot="1" x14ac:dyDescent="0.25">
      <c r="A157" s="853" t="s">
        <v>283</v>
      </c>
      <c r="B157" s="853"/>
      <c r="C157" s="853"/>
      <c r="D157" s="853"/>
      <c r="E157" s="853"/>
      <c r="F157" s="853"/>
    </row>
    <row r="158" spans="1:10" ht="22.5" customHeight="1" thickBot="1" x14ac:dyDescent="0.25">
      <c r="A158" s="855" t="s">
        <v>46</v>
      </c>
      <c r="B158" s="857" t="s">
        <v>47</v>
      </c>
      <c r="C158" s="851">
        <v>2023</v>
      </c>
      <c r="D158" s="851"/>
      <c r="E158" s="851"/>
      <c r="F158" s="851"/>
    </row>
    <row r="159" spans="1:10" ht="22.5" customHeight="1" thickBot="1" x14ac:dyDescent="0.25">
      <c r="A159" s="855"/>
      <c r="B159" s="857"/>
      <c r="C159" s="852"/>
      <c r="D159" s="852"/>
      <c r="E159" s="852"/>
      <c r="F159" s="194" t="s">
        <v>510</v>
      </c>
      <c r="I159" s="77"/>
    </row>
    <row r="160" spans="1:10" ht="15.95" customHeight="1" x14ac:dyDescent="0.2">
      <c r="A160" s="150" t="s">
        <v>156</v>
      </c>
      <c r="B160" s="858" t="s">
        <v>157</v>
      </c>
      <c r="C160" s="858"/>
      <c r="D160" s="858">
        <v>0.27</v>
      </c>
      <c r="E160" s="858"/>
      <c r="F160" s="217">
        <v>300000</v>
      </c>
      <c r="G160" s="212"/>
      <c r="H160" s="510">
        <v>0.27</v>
      </c>
      <c r="I160" s="77">
        <f>SUM(F160*D160)</f>
        <v>81000</v>
      </c>
    </row>
    <row r="161" spans="1:10" ht="15.95" customHeight="1" x14ac:dyDescent="0.2">
      <c r="A161" s="327" t="s">
        <v>314</v>
      </c>
      <c r="B161" s="87" t="s">
        <v>633</v>
      </c>
      <c r="C161" s="87"/>
      <c r="D161" s="151"/>
      <c r="E161" s="87"/>
      <c r="F161" s="338">
        <v>120000</v>
      </c>
      <c r="G161" s="212"/>
      <c r="I161" s="77"/>
    </row>
    <row r="162" spans="1:10" ht="15.95" customHeight="1" x14ac:dyDescent="0.2">
      <c r="A162" s="86" t="s">
        <v>170</v>
      </c>
      <c r="B162" s="87" t="s">
        <v>171</v>
      </c>
      <c r="C162" s="106"/>
      <c r="D162" s="269">
        <v>0.27</v>
      </c>
      <c r="E162" s="106"/>
      <c r="F162" s="198">
        <v>1000000</v>
      </c>
      <c r="G162" s="212"/>
      <c r="H162" s="510">
        <v>0.27</v>
      </c>
      <c r="I162" s="77">
        <f t="shared" ref="I162:I165" si="5">SUM(F162*D162)</f>
        <v>270000</v>
      </c>
    </row>
    <row r="163" spans="1:10" ht="15.95" customHeight="1" x14ac:dyDescent="0.2">
      <c r="A163" s="86" t="s">
        <v>174</v>
      </c>
      <c r="B163" s="87" t="s">
        <v>173</v>
      </c>
      <c r="C163" s="106"/>
      <c r="D163" s="207">
        <v>0.27</v>
      </c>
      <c r="E163" s="106"/>
      <c r="F163" s="198">
        <v>500000</v>
      </c>
      <c r="G163" s="212"/>
      <c r="H163" s="510">
        <v>0.27</v>
      </c>
      <c r="I163" s="77">
        <f t="shared" si="5"/>
        <v>135000</v>
      </c>
    </row>
    <row r="164" spans="1:10" ht="15.95" customHeight="1" x14ac:dyDescent="0.2">
      <c r="A164" s="114" t="s">
        <v>170</v>
      </c>
      <c r="B164" s="918" t="s">
        <v>320</v>
      </c>
      <c r="C164" s="919"/>
      <c r="D164" s="919"/>
      <c r="E164" s="920"/>
      <c r="F164" s="270">
        <f>F162+F163</f>
        <v>1500000</v>
      </c>
      <c r="G164" s="212"/>
      <c r="I164" s="77">
        <f t="shared" si="5"/>
        <v>0</v>
      </c>
    </row>
    <row r="165" spans="1:10" ht="15.95" customHeight="1" x14ac:dyDescent="0.2">
      <c r="A165" s="898" t="s">
        <v>205</v>
      </c>
      <c r="B165" s="92" t="s">
        <v>410</v>
      </c>
      <c r="C165" s="95"/>
      <c r="D165" s="216">
        <v>0.27</v>
      </c>
      <c r="E165" s="95"/>
      <c r="F165" s="190">
        <v>1800000</v>
      </c>
      <c r="G165" s="212"/>
      <c r="H165" s="510">
        <v>0.27</v>
      </c>
      <c r="I165" s="77">
        <f t="shared" si="5"/>
        <v>486000.00000000006</v>
      </c>
    </row>
    <row r="166" spans="1:10" ht="15.95" customHeight="1" x14ac:dyDescent="0.2">
      <c r="A166" s="898"/>
      <c r="B166" s="858" t="s">
        <v>327</v>
      </c>
      <c r="C166" s="858"/>
      <c r="D166" s="858"/>
      <c r="E166" s="858"/>
      <c r="F166" s="217">
        <f>SUM(F165:F165)</f>
        <v>1800000</v>
      </c>
      <c r="I166" s="77"/>
    </row>
    <row r="167" spans="1:10" ht="15.95" customHeight="1" x14ac:dyDescent="0.2">
      <c r="A167" s="91" t="s">
        <v>292</v>
      </c>
      <c r="B167" s="92" t="s">
        <v>693</v>
      </c>
      <c r="C167" s="92"/>
      <c r="D167" s="92"/>
      <c r="E167" s="92"/>
      <c r="F167" s="559"/>
      <c r="I167" s="77"/>
    </row>
    <row r="168" spans="1:10" ht="23.25" customHeight="1" thickBot="1" x14ac:dyDescent="0.25">
      <c r="A168" s="102" t="s">
        <v>213</v>
      </c>
      <c r="B168" s="92" t="s">
        <v>271</v>
      </c>
      <c r="C168" s="95">
        <f>F164+F166+F160</f>
        <v>3600000</v>
      </c>
      <c r="D168" s="216">
        <v>0.27</v>
      </c>
      <c r="E168" s="95">
        <f>C168*D168</f>
        <v>972000.00000000012</v>
      </c>
      <c r="F168" s="559">
        <v>972000</v>
      </c>
      <c r="G168" s="212"/>
      <c r="I168" s="77">
        <f>SUM(I160:I167)</f>
        <v>972000</v>
      </c>
    </row>
    <row r="169" spans="1:10" ht="23.25" customHeight="1" thickBot="1" x14ac:dyDescent="0.25">
      <c r="A169" s="845" t="s">
        <v>279</v>
      </c>
      <c r="B169" s="845"/>
      <c r="C169" s="845"/>
      <c r="D169" s="845"/>
      <c r="E169" s="845"/>
      <c r="F169" s="220">
        <f>F160+F164+F166+F168+F167+F161</f>
        <v>4692000</v>
      </c>
      <c r="G169" s="212">
        <f>SUM(F169-'Kiadások COFOG szerint'!F97)</f>
        <v>0</v>
      </c>
    </row>
    <row r="170" spans="1:10" ht="25.5" customHeight="1" thickBot="1" x14ac:dyDescent="0.25">
      <c r="A170" s="846" t="s">
        <v>122</v>
      </c>
      <c r="B170" s="847"/>
      <c r="C170" s="847"/>
      <c r="D170" s="847"/>
      <c r="E170" s="847"/>
      <c r="F170" s="848"/>
    </row>
    <row r="171" spans="1:10" ht="22.5" customHeight="1" thickBot="1" x14ac:dyDescent="0.25">
      <c r="A171" s="849" t="s">
        <v>46</v>
      </c>
      <c r="B171" s="850" t="s">
        <v>47</v>
      </c>
      <c r="C171" s="851">
        <v>2023</v>
      </c>
      <c r="D171" s="851"/>
      <c r="E171" s="851"/>
      <c r="F171" s="851"/>
    </row>
    <row r="172" spans="1:10" ht="24" customHeight="1" thickBot="1" x14ac:dyDescent="0.25">
      <c r="A172" s="849"/>
      <c r="B172" s="850"/>
      <c r="C172" s="852"/>
      <c r="D172" s="852"/>
      <c r="E172" s="852"/>
      <c r="F172" s="194" t="s">
        <v>510</v>
      </c>
    </row>
    <row r="173" spans="1:10" x14ac:dyDescent="0.2">
      <c r="A173" s="161" t="s">
        <v>232</v>
      </c>
      <c r="B173" s="858" t="s">
        <v>284</v>
      </c>
      <c r="C173" s="858"/>
      <c r="D173" s="858"/>
      <c r="E173" s="858"/>
      <c r="F173" s="217">
        <v>0</v>
      </c>
      <c r="H173" s="513"/>
      <c r="J173" s="77"/>
    </row>
    <row r="174" spans="1:10" ht="13.5" thickBot="1" x14ac:dyDescent="0.25">
      <c r="A174" s="86" t="s">
        <v>41</v>
      </c>
      <c r="B174" s="858" t="s">
        <v>259</v>
      </c>
      <c r="C174" s="858"/>
      <c r="D174" s="858"/>
      <c r="E174" s="858"/>
      <c r="F174" s="217">
        <v>9750886</v>
      </c>
    </row>
    <row r="175" spans="1:10" ht="22.5" customHeight="1" thickBot="1" x14ac:dyDescent="0.25">
      <c r="A175" s="845" t="s">
        <v>279</v>
      </c>
      <c r="B175" s="845"/>
      <c r="C175" s="845"/>
      <c r="D175" s="845"/>
      <c r="E175" s="845"/>
      <c r="F175" s="220">
        <f>F173+F174</f>
        <v>9750886</v>
      </c>
      <c r="G175" s="212">
        <f>SUM(F175-'Kiadások COFOG szerint'!F103)</f>
        <v>0</v>
      </c>
    </row>
    <row r="176" spans="1:10" ht="23.25" customHeight="1" thickBot="1" x14ac:dyDescent="0.25">
      <c r="A176" s="853" t="s">
        <v>336</v>
      </c>
      <c r="B176" s="853"/>
      <c r="C176" s="853"/>
      <c r="D176" s="853"/>
      <c r="E176" s="853"/>
      <c r="F176" s="853"/>
    </row>
    <row r="177" spans="1:15" ht="19.5" customHeight="1" x14ac:dyDescent="0.2">
      <c r="A177" s="854" t="s">
        <v>46</v>
      </c>
      <c r="B177" s="856" t="s">
        <v>47</v>
      </c>
      <c r="C177" s="851">
        <v>2023</v>
      </c>
      <c r="D177" s="851"/>
      <c r="E177" s="851"/>
      <c r="F177" s="851"/>
    </row>
    <row r="178" spans="1:15" ht="17.25" customHeight="1" thickBot="1" x14ac:dyDescent="0.25">
      <c r="A178" s="855"/>
      <c r="B178" s="857"/>
      <c r="C178" s="852"/>
      <c r="D178" s="852"/>
      <c r="E178" s="852"/>
      <c r="F178" s="194" t="s">
        <v>510</v>
      </c>
    </row>
    <row r="179" spans="1:15" ht="20.25" customHeight="1" x14ac:dyDescent="0.2">
      <c r="A179" s="101" t="s">
        <v>500</v>
      </c>
      <c r="B179" s="928" t="s">
        <v>498</v>
      </c>
      <c r="C179" s="929"/>
      <c r="D179" s="929"/>
      <c r="E179" s="929"/>
      <c r="F179" s="930"/>
      <c r="G179" s="925" t="s">
        <v>353</v>
      </c>
      <c r="H179" s="926"/>
      <c r="I179" s="926"/>
      <c r="J179" s="927"/>
      <c r="K179" s="39"/>
      <c r="L179" s="39"/>
      <c r="M179" s="39"/>
      <c r="N179" s="39"/>
      <c r="O179" s="39"/>
    </row>
    <row r="180" spans="1:15" ht="20.25" customHeight="1" x14ac:dyDescent="0.2">
      <c r="A180" s="101"/>
      <c r="B180" s="913" t="s">
        <v>499</v>
      </c>
      <c r="C180" s="914"/>
      <c r="D180" s="914"/>
      <c r="E180" s="914"/>
      <c r="F180" s="915"/>
      <c r="G180" s="451"/>
      <c r="H180" s="519"/>
      <c r="I180" s="531"/>
      <c r="J180" s="453"/>
      <c r="K180" s="39"/>
      <c r="L180" s="39"/>
      <c r="M180" s="39"/>
      <c r="N180" s="39"/>
      <c r="O180" s="39"/>
    </row>
    <row r="181" spans="1:15" ht="20.25" customHeight="1" x14ac:dyDescent="0.2">
      <c r="A181" s="872" t="s">
        <v>598</v>
      </c>
      <c r="B181" s="912" t="s">
        <v>513</v>
      </c>
      <c r="C181" s="912"/>
      <c r="D181" s="912"/>
      <c r="E181" s="912"/>
      <c r="F181" s="916">
        <v>14000000</v>
      </c>
      <c r="G181" s="451"/>
      <c r="H181" s="519"/>
      <c r="I181" s="531"/>
      <c r="J181" s="453"/>
      <c r="K181" s="39"/>
      <c r="L181" s="39"/>
      <c r="M181" s="39"/>
      <c r="N181" s="39"/>
      <c r="O181" s="39"/>
    </row>
    <row r="182" spans="1:15" ht="20.25" customHeight="1" x14ac:dyDescent="0.2">
      <c r="A182" s="872"/>
      <c r="B182" s="912" t="s">
        <v>514</v>
      </c>
      <c r="C182" s="912"/>
      <c r="D182" s="912"/>
      <c r="E182" s="912"/>
      <c r="F182" s="917"/>
      <c r="G182" s="451"/>
      <c r="H182" s="519"/>
      <c r="I182" s="531"/>
      <c r="J182" s="453"/>
      <c r="K182" s="39"/>
      <c r="L182" s="39"/>
      <c r="M182" s="39"/>
      <c r="N182" s="39"/>
      <c r="O182" s="39"/>
    </row>
    <row r="183" spans="1:15" ht="20.25" customHeight="1" thickBot="1" x14ac:dyDescent="0.25">
      <c r="A183" s="101" t="s">
        <v>500</v>
      </c>
      <c r="B183" s="912" t="s">
        <v>515</v>
      </c>
      <c r="C183" s="912"/>
      <c r="D183" s="912"/>
      <c r="E183" s="912"/>
      <c r="F183" s="198">
        <v>550000</v>
      </c>
      <c r="G183" s="451"/>
      <c r="H183" s="519"/>
      <c r="I183" s="531"/>
      <c r="J183" s="453"/>
      <c r="K183" s="39"/>
      <c r="L183" s="39"/>
      <c r="M183" s="39"/>
      <c r="N183" s="39"/>
      <c r="O183" s="39"/>
    </row>
    <row r="184" spans="1:15" ht="18.75" customHeight="1" x14ac:dyDescent="0.2">
      <c r="A184" s="463"/>
      <c r="B184" s="728" t="s">
        <v>261</v>
      </c>
      <c r="C184" s="729"/>
      <c r="D184" s="729"/>
      <c r="E184" s="729"/>
      <c r="F184" s="730">
        <f>SUM(F185:F191)</f>
        <v>221309261</v>
      </c>
      <c r="G184" s="452"/>
      <c r="H184" s="519"/>
      <c r="I184" s="531"/>
      <c r="J184" s="453"/>
      <c r="K184" s="39"/>
      <c r="L184" s="39"/>
      <c r="M184" s="39"/>
      <c r="N184" s="39"/>
      <c r="O184" s="39"/>
    </row>
    <row r="185" spans="1:15" ht="17.25" customHeight="1" x14ac:dyDescent="0.2">
      <c r="A185" s="932" t="s">
        <v>260</v>
      </c>
      <c r="B185" s="931" t="s">
        <v>337</v>
      </c>
      <c r="C185" s="931"/>
      <c r="D185" s="931"/>
      <c r="E185" s="931"/>
      <c r="F185" s="198">
        <v>77081860</v>
      </c>
      <c r="G185" s="353"/>
      <c r="H185" s="517"/>
      <c r="I185" s="528"/>
      <c r="J185" s="39"/>
      <c r="K185" s="39"/>
      <c r="L185" s="39"/>
      <c r="M185" s="39"/>
      <c r="N185" s="39"/>
      <c r="O185" s="39"/>
    </row>
    <row r="186" spans="1:15" ht="17.25" customHeight="1" x14ac:dyDescent="0.2">
      <c r="A186" s="932"/>
      <c r="B186" s="931" t="s">
        <v>644</v>
      </c>
      <c r="C186" s="931"/>
      <c r="D186" s="931"/>
      <c r="E186" s="931"/>
      <c r="F186" s="198">
        <v>22116100</v>
      </c>
      <c r="G186" s="353"/>
      <c r="H186" s="517"/>
      <c r="I186" s="528"/>
      <c r="J186" s="39"/>
      <c r="K186" s="39"/>
      <c r="L186" s="39"/>
      <c r="M186" s="39"/>
      <c r="N186" s="39"/>
      <c r="O186" s="39"/>
    </row>
    <row r="187" spans="1:15" ht="17.25" customHeight="1" x14ac:dyDescent="0.2">
      <c r="A187" s="933"/>
      <c r="B187" s="931" t="s">
        <v>338</v>
      </c>
      <c r="C187" s="931"/>
      <c r="D187" s="931"/>
      <c r="E187" s="931"/>
      <c r="F187" s="198">
        <v>15010764</v>
      </c>
      <c r="G187" s="353"/>
      <c r="H187" s="517"/>
      <c r="I187" s="528"/>
      <c r="J187" s="39"/>
      <c r="K187" s="39"/>
      <c r="L187" s="39"/>
      <c r="M187" s="39"/>
      <c r="N187" s="39"/>
      <c r="O187" s="39"/>
    </row>
    <row r="188" spans="1:15" ht="17.25" customHeight="1" x14ac:dyDescent="0.2">
      <c r="A188" s="933"/>
      <c r="B188" s="931" t="s">
        <v>411</v>
      </c>
      <c r="C188" s="931"/>
      <c r="D188" s="931"/>
      <c r="E188" s="931"/>
      <c r="F188" s="198">
        <v>72147110</v>
      </c>
      <c r="G188" s="353"/>
      <c r="H188" s="517"/>
      <c r="I188" s="528"/>
      <c r="J188" s="39"/>
      <c r="K188" s="39"/>
      <c r="L188" s="39"/>
      <c r="M188" s="39"/>
      <c r="N188" s="39"/>
      <c r="O188" s="39"/>
    </row>
    <row r="189" spans="1:15" ht="17.25" customHeight="1" x14ac:dyDescent="0.2">
      <c r="A189" s="933"/>
      <c r="B189" s="931" t="s">
        <v>473</v>
      </c>
      <c r="C189" s="931"/>
      <c r="D189" s="931"/>
      <c r="E189" s="931"/>
      <c r="F189" s="198">
        <v>13425796</v>
      </c>
      <c r="G189" s="355"/>
      <c r="H189" s="517"/>
      <c r="I189" s="528"/>
      <c r="J189" s="39"/>
      <c r="K189" s="39"/>
      <c r="L189" s="39"/>
      <c r="M189" s="39"/>
      <c r="N189" s="39"/>
      <c r="O189" s="39"/>
    </row>
    <row r="190" spans="1:15" ht="18" customHeight="1" x14ac:dyDescent="0.2">
      <c r="A190" s="933"/>
      <c r="B190" s="931" t="s">
        <v>412</v>
      </c>
      <c r="C190" s="931"/>
      <c r="D190" s="931"/>
      <c r="E190" s="931"/>
      <c r="F190" s="198">
        <v>5800273</v>
      </c>
      <c r="G190" s="353"/>
      <c r="H190" s="517"/>
      <c r="I190" s="528"/>
      <c r="J190" s="39"/>
      <c r="K190" s="39"/>
      <c r="L190" s="39"/>
      <c r="M190" s="39"/>
      <c r="N190" s="39"/>
      <c r="O190" s="39"/>
    </row>
    <row r="191" spans="1:15" ht="18" customHeight="1" thickBot="1" x14ac:dyDescent="0.25">
      <c r="A191" s="934"/>
      <c r="B191" s="931" t="s">
        <v>413</v>
      </c>
      <c r="C191" s="931"/>
      <c r="D191" s="931"/>
      <c r="E191" s="931"/>
      <c r="F191" s="198">
        <v>15727358</v>
      </c>
      <c r="G191" s="353"/>
      <c r="H191" s="517"/>
      <c r="I191" s="528"/>
      <c r="J191" s="39"/>
      <c r="K191" s="39"/>
      <c r="L191" s="39"/>
      <c r="M191" s="39"/>
      <c r="N191" s="39"/>
      <c r="O191" s="39"/>
    </row>
    <row r="192" spans="1:15" ht="21" customHeight="1" thickBot="1" x14ac:dyDescent="0.25">
      <c r="A192" s="845" t="s">
        <v>279</v>
      </c>
      <c r="B192" s="845"/>
      <c r="C192" s="845"/>
      <c r="D192" s="845"/>
      <c r="E192" s="845"/>
      <c r="F192" s="220">
        <f>SUM(F181+F184+F183)</f>
        <v>235859261</v>
      </c>
      <c r="G192" s="212">
        <f>SUM(F192-'Kiadások COFOG szerint'!F109)</f>
        <v>0</v>
      </c>
    </row>
    <row r="193" spans="1:7" ht="25.5" customHeight="1" thickBot="1" x14ac:dyDescent="0.25">
      <c r="A193" s="853" t="s">
        <v>414</v>
      </c>
      <c r="B193" s="853"/>
      <c r="C193" s="853"/>
      <c r="D193" s="853"/>
      <c r="E193" s="853"/>
      <c r="F193" s="853"/>
    </row>
    <row r="194" spans="1:7" ht="21.75" customHeight="1" x14ac:dyDescent="0.2">
      <c r="A194" s="854" t="s">
        <v>46</v>
      </c>
      <c r="B194" s="856" t="s">
        <v>47</v>
      </c>
      <c r="C194" s="851">
        <v>2023</v>
      </c>
      <c r="D194" s="851"/>
      <c r="E194" s="851"/>
      <c r="F194" s="851"/>
    </row>
    <row r="195" spans="1:7" ht="23.25" customHeight="1" thickBot="1" x14ac:dyDescent="0.25">
      <c r="A195" s="854"/>
      <c r="B195" s="856"/>
      <c r="C195" s="852"/>
      <c r="D195" s="852"/>
      <c r="E195" s="852"/>
      <c r="F195" s="194" t="s">
        <v>510</v>
      </c>
    </row>
    <row r="196" spans="1:7" ht="15" customHeight="1" x14ac:dyDescent="0.2">
      <c r="A196" s="734" t="s">
        <v>144</v>
      </c>
      <c r="B196" s="284" t="s">
        <v>415</v>
      </c>
      <c r="C196" s="737"/>
      <c r="D196" s="738"/>
      <c r="E196" s="735"/>
      <c r="F196" s="736">
        <f>SUM(F197:F199)</f>
        <v>3904350</v>
      </c>
      <c r="G196" s="356"/>
    </row>
    <row r="197" spans="1:7" ht="15" customHeight="1" x14ac:dyDescent="0.2">
      <c r="A197" s="86"/>
      <c r="B197" s="87" t="s">
        <v>655</v>
      </c>
      <c r="C197" s="197">
        <v>3</v>
      </c>
      <c r="D197" s="197">
        <v>100000</v>
      </c>
      <c r="E197" s="197">
        <v>1</v>
      </c>
      <c r="F197" s="226">
        <f>SUM(C197*D197*E197)</f>
        <v>300000</v>
      </c>
      <c r="G197" s="356"/>
    </row>
    <row r="198" spans="1:7" ht="15" customHeight="1" x14ac:dyDescent="0.2">
      <c r="A198" s="86"/>
      <c r="B198" s="188">
        <v>2023</v>
      </c>
      <c r="C198" s="197">
        <v>3</v>
      </c>
      <c r="D198" s="197">
        <v>116000</v>
      </c>
      <c r="E198" s="197">
        <v>11</v>
      </c>
      <c r="F198" s="226">
        <f>SUM(C198*D198*E198)</f>
        <v>3828000</v>
      </c>
      <c r="G198" s="356"/>
    </row>
    <row r="199" spans="1:7" ht="15" customHeight="1" x14ac:dyDescent="0.2">
      <c r="A199" s="86"/>
      <c r="B199" s="188" t="s">
        <v>722</v>
      </c>
      <c r="C199" s="197"/>
      <c r="D199" s="197"/>
      <c r="E199" s="197"/>
      <c r="F199" s="226">
        <v>-223650</v>
      </c>
      <c r="G199" s="356"/>
    </row>
    <row r="200" spans="1:7" ht="15" customHeight="1" x14ac:dyDescent="0.2">
      <c r="A200" s="86" t="s">
        <v>158</v>
      </c>
      <c r="B200" s="284" t="s">
        <v>159</v>
      </c>
      <c r="C200" s="197">
        <f>F196</f>
        <v>3904350</v>
      </c>
      <c r="D200" s="202">
        <v>0.13</v>
      </c>
      <c r="E200" s="331">
        <v>0.5</v>
      </c>
      <c r="F200" s="736">
        <v>270000</v>
      </c>
      <c r="G200" s="231">
        <f>SUM(C200*D200*E200)</f>
        <v>253782.75</v>
      </c>
    </row>
    <row r="201" spans="1:7" ht="15" customHeight="1" x14ac:dyDescent="0.2">
      <c r="A201" s="114" t="s">
        <v>158</v>
      </c>
      <c r="B201" s="87" t="s">
        <v>339</v>
      </c>
      <c r="C201" s="106"/>
      <c r="D201" s="197"/>
      <c r="E201" s="106"/>
      <c r="F201" s="226"/>
    </row>
    <row r="202" spans="1:7" ht="15" customHeight="1" x14ac:dyDescent="0.2">
      <c r="A202" s="114" t="s">
        <v>170</v>
      </c>
      <c r="B202" s="87" t="s">
        <v>171</v>
      </c>
      <c r="C202" s="106"/>
      <c r="D202" s="207">
        <v>0.27</v>
      </c>
      <c r="E202" s="106"/>
      <c r="F202" s="226">
        <v>0</v>
      </c>
    </row>
    <row r="203" spans="1:7" ht="21.75" customHeight="1" x14ac:dyDescent="0.2">
      <c r="A203" s="114" t="s">
        <v>213</v>
      </c>
      <c r="B203" s="87" t="s">
        <v>271</v>
      </c>
      <c r="C203" s="106"/>
      <c r="D203" s="207">
        <v>0.27</v>
      </c>
      <c r="E203" s="106"/>
      <c r="F203" s="226">
        <v>0</v>
      </c>
    </row>
    <row r="204" spans="1:7" ht="21.75" customHeight="1" x14ac:dyDescent="0.2">
      <c r="A204" s="114" t="s">
        <v>247</v>
      </c>
      <c r="B204" s="87" t="s">
        <v>248</v>
      </c>
      <c r="C204" s="106"/>
      <c r="D204" s="207">
        <v>0.27</v>
      </c>
      <c r="E204" s="106"/>
      <c r="F204" s="226"/>
    </row>
    <row r="205" spans="1:7" ht="22.5" customHeight="1" thickBot="1" x14ac:dyDescent="0.25">
      <c r="A205" s="91" t="s">
        <v>249</v>
      </c>
      <c r="B205" s="92" t="s">
        <v>276</v>
      </c>
      <c r="C205" s="95"/>
      <c r="D205" s="207">
        <v>0.27</v>
      </c>
      <c r="E205" s="95"/>
      <c r="F205" s="228"/>
    </row>
    <row r="206" spans="1:7" ht="20.25" customHeight="1" x14ac:dyDescent="0.2">
      <c r="A206" s="874" t="s">
        <v>279</v>
      </c>
      <c r="B206" s="874"/>
      <c r="C206" s="874"/>
      <c r="D206" s="874"/>
      <c r="E206" s="874"/>
      <c r="F206" s="335">
        <f>SUM(F196+F200)</f>
        <v>4174350</v>
      </c>
      <c r="G206" s="212">
        <f>SUM(F206-'Kiadások COFOG szerint'!F119)</f>
        <v>0</v>
      </c>
    </row>
    <row r="207" spans="1:7" ht="20.25" hidden="1" customHeight="1" thickBot="1" x14ac:dyDescent="0.25">
      <c r="A207" s="853" t="s">
        <v>416</v>
      </c>
      <c r="B207" s="853"/>
      <c r="C207" s="853"/>
      <c r="D207" s="853"/>
      <c r="E207" s="853"/>
      <c r="F207" s="853"/>
    </row>
    <row r="208" spans="1:7" ht="20.25" hidden="1" customHeight="1" x14ac:dyDescent="0.2">
      <c r="A208" s="854" t="s">
        <v>46</v>
      </c>
      <c r="B208" s="856" t="s">
        <v>47</v>
      </c>
      <c r="C208" s="851">
        <v>2021</v>
      </c>
      <c r="D208" s="851"/>
      <c r="E208" s="851"/>
      <c r="F208" s="851"/>
    </row>
    <row r="209" spans="1:12" ht="20.25" hidden="1" customHeight="1" thickBot="1" x14ac:dyDescent="0.25">
      <c r="A209" s="854"/>
      <c r="B209" s="856"/>
      <c r="C209" s="852"/>
      <c r="D209" s="852"/>
      <c r="E209" s="852"/>
      <c r="F209" s="194" t="s">
        <v>510</v>
      </c>
    </row>
    <row r="210" spans="1:12" ht="20.25" hidden="1" customHeight="1" x14ac:dyDescent="0.2">
      <c r="A210" s="86" t="s">
        <v>144</v>
      </c>
      <c r="B210" s="87" t="s">
        <v>415</v>
      </c>
      <c r="C210" s="197"/>
      <c r="D210" s="197"/>
      <c r="E210" s="197"/>
      <c r="F210" s="226">
        <v>0</v>
      </c>
    </row>
    <row r="211" spans="1:12" ht="20.25" hidden="1" customHeight="1" x14ac:dyDescent="0.2">
      <c r="A211" s="114" t="s">
        <v>150</v>
      </c>
      <c r="B211" s="87" t="s">
        <v>151</v>
      </c>
      <c r="C211" s="197"/>
      <c r="D211" s="197"/>
      <c r="E211" s="197"/>
      <c r="F211" s="226">
        <v>0</v>
      </c>
    </row>
    <row r="212" spans="1:12" ht="20.25" hidden="1" customHeight="1" x14ac:dyDescent="0.2">
      <c r="A212" s="86" t="s">
        <v>158</v>
      </c>
      <c r="B212" s="87" t="s">
        <v>159</v>
      </c>
      <c r="C212" s="197"/>
      <c r="D212" s="202"/>
      <c r="E212" s="331"/>
      <c r="F212" s="226">
        <v>0</v>
      </c>
    </row>
    <row r="213" spans="1:12" ht="20.25" hidden="1" customHeight="1" x14ac:dyDescent="0.2">
      <c r="A213" s="114" t="s">
        <v>158</v>
      </c>
      <c r="B213" s="87" t="s">
        <v>339</v>
      </c>
      <c r="C213" s="106"/>
      <c r="D213" s="197"/>
      <c r="E213" s="106"/>
      <c r="F213" s="226">
        <v>0</v>
      </c>
    </row>
    <row r="214" spans="1:12" ht="20.25" hidden="1" customHeight="1" x14ac:dyDescent="0.2">
      <c r="A214" s="114" t="s">
        <v>170</v>
      </c>
      <c r="B214" s="87" t="s">
        <v>171</v>
      </c>
      <c r="C214" s="106"/>
      <c r="D214" s="207"/>
      <c r="E214" s="106"/>
      <c r="F214" s="226">
        <v>0</v>
      </c>
    </row>
    <row r="215" spans="1:12" ht="20.25" hidden="1" customHeight="1" thickBot="1" x14ac:dyDescent="0.25">
      <c r="A215" s="114" t="s">
        <v>213</v>
      </c>
      <c r="B215" s="87" t="s">
        <v>271</v>
      </c>
      <c r="C215" s="106"/>
      <c r="D215" s="207"/>
      <c r="E215" s="106"/>
      <c r="F215" s="226">
        <v>0</v>
      </c>
    </row>
    <row r="216" spans="1:12" ht="20.25" hidden="1" customHeight="1" thickBot="1" x14ac:dyDescent="0.25">
      <c r="A216" s="845" t="s">
        <v>279</v>
      </c>
      <c r="B216" s="845"/>
      <c r="C216" s="845"/>
      <c r="D216" s="845"/>
      <c r="E216" s="845"/>
      <c r="F216" s="220">
        <f>SUM(F210:F215)</f>
        <v>0</v>
      </c>
    </row>
    <row r="217" spans="1:12" ht="24" customHeight="1" thickBot="1" x14ac:dyDescent="0.25">
      <c r="A217" s="862" t="s">
        <v>285</v>
      </c>
      <c r="B217" s="862"/>
      <c r="C217" s="862"/>
      <c r="D217" s="862"/>
      <c r="E217" s="862"/>
      <c r="F217" s="862"/>
    </row>
    <row r="218" spans="1:12" ht="23.25" customHeight="1" x14ac:dyDescent="0.2">
      <c r="A218" s="854" t="s">
        <v>46</v>
      </c>
      <c r="B218" s="856" t="s">
        <v>47</v>
      </c>
      <c r="C218" s="851">
        <v>2023</v>
      </c>
      <c r="D218" s="851"/>
      <c r="E218" s="851"/>
      <c r="F218" s="851"/>
    </row>
    <row r="219" spans="1:12" ht="25.5" customHeight="1" thickBot="1" x14ac:dyDescent="0.25">
      <c r="A219" s="854"/>
      <c r="B219" s="856"/>
      <c r="C219" s="852"/>
      <c r="D219" s="852"/>
      <c r="E219" s="852"/>
      <c r="F219" s="194" t="s">
        <v>510</v>
      </c>
    </row>
    <row r="220" spans="1:12" ht="15" customHeight="1" x14ac:dyDescent="0.2">
      <c r="A220" s="86" t="s">
        <v>170</v>
      </c>
      <c r="B220" s="858" t="s">
        <v>171</v>
      </c>
      <c r="C220" s="858"/>
      <c r="D220" s="858"/>
      <c r="E220" s="858"/>
      <c r="F220" s="199">
        <v>700000</v>
      </c>
      <c r="H220" s="510">
        <v>0.27</v>
      </c>
      <c r="I220" s="543">
        <f t="shared" ref="I220:I222" si="6">SUM(F220*H220)</f>
        <v>189000</v>
      </c>
    </row>
    <row r="221" spans="1:12" ht="15" customHeight="1" x14ac:dyDescent="0.2">
      <c r="A221" s="909" t="s">
        <v>199</v>
      </c>
      <c r="B221" s="87" t="s">
        <v>582</v>
      </c>
      <c r="C221" s="106"/>
      <c r="D221" s="207">
        <v>0.27</v>
      </c>
      <c r="E221" s="106"/>
      <c r="F221" s="198">
        <v>880000</v>
      </c>
      <c r="H221" s="510">
        <v>0.27</v>
      </c>
      <c r="I221" s="543">
        <f t="shared" si="6"/>
        <v>237600.00000000003</v>
      </c>
    </row>
    <row r="222" spans="1:12" ht="15" customHeight="1" x14ac:dyDescent="0.2">
      <c r="A222" s="910"/>
      <c r="B222" s="87" t="s">
        <v>571</v>
      </c>
      <c r="C222" s="106" t="s">
        <v>573</v>
      </c>
      <c r="D222" s="207">
        <v>0.27</v>
      </c>
      <c r="E222" s="536"/>
      <c r="F222" s="198">
        <v>500000</v>
      </c>
      <c r="H222" s="510">
        <v>0.27</v>
      </c>
      <c r="I222" s="543">
        <f t="shared" si="6"/>
        <v>135000</v>
      </c>
    </row>
    <row r="223" spans="1:12" ht="15" customHeight="1" x14ac:dyDescent="0.2">
      <c r="A223" s="910"/>
      <c r="B223" s="87" t="s">
        <v>572</v>
      </c>
      <c r="C223" s="106">
        <v>150000</v>
      </c>
      <c r="D223" s="207">
        <v>0.27</v>
      </c>
      <c r="E223" s="536">
        <v>3</v>
      </c>
      <c r="F223" s="198">
        <f>SUM(C223*E223)</f>
        <v>450000</v>
      </c>
      <c r="H223" s="510">
        <v>0.27</v>
      </c>
      <c r="I223" s="543">
        <f>SUM(F223*H223)</f>
        <v>121500.00000000001</v>
      </c>
    </row>
    <row r="224" spans="1:12" ht="15" customHeight="1" x14ac:dyDescent="0.2">
      <c r="A224" s="911"/>
      <c r="B224" s="858" t="s">
        <v>340</v>
      </c>
      <c r="C224" s="858"/>
      <c r="D224" s="858"/>
      <c r="E224" s="858"/>
      <c r="F224" s="199">
        <f>SUM(F221:F223)</f>
        <v>1830000</v>
      </c>
      <c r="G224" s="271" t="s">
        <v>372</v>
      </c>
      <c r="H224" s="520"/>
      <c r="I224" s="544"/>
      <c r="J224" s="271"/>
      <c r="K224" s="272">
        <f>SUM('Bevételek COFOG szerint 2023'!F49)</f>
        <v>4539360</v>
      </c>
      <c r="L224" s="273" t="s">
        <v>373</v>
      </c>
    </row>
    <row r="225" spans="1:15" ht="15" customHeight="1" x14ac:dyDescent="0.2">
      <c r="A225" s="86" t="s">
        <v>205</v>
      </c>
      <c r="B225" s="858" t="s">
        <v>206</v>
      </c>
      <c r="C225" s="858"/>
      <c r="D225" s="858"/>
      <c r="E225" s="858"/>
      <c r="F225" s="199">
        <f>SUM(F226:F227)</f>
        <v>3000000</v>
      </c>
      <c r="I225" s="545"/>
    </row>
    <row r="226" spans="1:15" ht="15" customHeight="1" x14ac:dyDescent="0.2">
      <c r="A226" s="86"/>
      <c r="B226" s="87" t="s">
        <v>580</v>
      </c>
      <c r="C226" s="106">
        <v>200000</v>
      </c>
      <c r="D226" s="207">
        <v>0.27</v>
      </c>
      <c r="E226" s="106">
        <v>12</v>
      </c>
      <c r="F226" s="198">
        <f>SUM(C226*E226)</f>
        <v>2400000</v>
      </c>
      <c r="H226" s="510">
        <v>0.27</v>
      </c>
      <c r="I226" s="543">
        <f>SUM(F226*H226)</f>
        <v>648000</v>
      </c>
    </row>
    <row r="227" spans="1:15" ht="15" customHeight="1" x14ac:dyDescent="0.2">
      <c r="A227" s="86"/>
      <c r="B227" s="87" t="s">
        <v>584</v>
      </c>
      <c r="C227" s="106">
        <v>46400</v>
      </c>
      <c r="D227" s="207">
        <v>0.27</v>
      </c>
      <c r="E227" s="106"/>
      <c r="F227" s="198">
        <v>600000</v>
      </c>
      <c r="H227" s="510">
        <v>0.27</v>
      </c>
      <c r="I227" s="543">
        <f>SUM(F227*H227)</f>
        <v>162000</v>
      </c>
    </row>
    <row r="228" spans="1:15" ht="21" x14ac:dyDescent="0.2">
      <c r="A228" s="86" t="s">
        <v>213</v>
      </c>
      <c r="B228" s="87" t="s">
        <v>271</v>
      </c>
      <c r="C228" s="106">
        <f>F224+F220+F225</f>
        <v>5530000</v>
      </c>
      <c r="D228" s="207">
        <v>0.27</v>
      </c>
      <c r="E228" s="106">
        <f>C228*D228</f>
        <v>1493100</v>
      </c>
      <c r="F228" s="199">
        <v>1500000</v>
      </c>
      <c r="I228" s="537">
        <f>SUM(I220:I227)</f>
        <v>1493100</v>
      </c>
    </row>
    <row r="229" spans="1:15" ht="15" customHeight="1" x14ac:dyDescent="0.2">
      <c r="A229" s="808" t="s">
        <v>251</v>
      </c>
      <c r="B229" s="859" t="s">
        <v>252</v>
      </c>
      <c r="C229" s="859"/>
      <c r="D229" s="859"/>
      <c r="E229" s="859"/>
      <c r="F229" s="859"/>
      <c r="I229" s="840"/>
      <c r="J229" s="840"/>
      <c r="L229" s="155"/>
    </row>
    <row r="230" spans="1:15" ht="15" customHeight="1" x14ac:dyDescent="0.2">
      <c r="A230" s="808"/>
      <c r="B230" s="92"/>
      <c r="C230" s="95"/>
      <c r="D230" s="216">
        <v>0.27</v>
      </c>
      <c r="E230" s="95"/>
      <c r="F230" s="190"/>
      <c r="I230" s="530"/>
      <c r="J230" s="160"/>
      <c r="L230" s="155"/>
    </row>
    <row r="231" spans="1:15" ht="15" customHeight="1" x14ac:dyDescent="0.2">
      <c r="A231" s="808"/>
      <c r="B231" s="92"/>
      <c r="C231" s="95"/>
      <c r="D231" s="216">
        <v>0.27</v>
      </c>
      <c r="E231" s="95"/>
      <c r="F231" s="190"/>
      <c r="H231" s="513"/>
      <c r="I231" s="530"/>
      <c r="J231" s="160"/>
      <c r="L231" s="155"/>
    </row>
    <row r="232" spans="1:15" ht="15" customHeight="1" x14ac:dyDescent="0.2">
      <c r="A232" s="808"/>
      <c r="B232" s="858" t="s">
        <v>341</v>
      </c>
      <c r="C232" s="858"/>
      <c r="D232" s="858"/>
      <c r="E232" s="858"/>
      <c r="F232" s="217">
        <f>F230+F231</f>
        <v>0</v>
      </c>
      <c r="H232" s="513"/>
      <c r="I232" s="530"/>
      <c r="J232" s="160"/>
      <c r="L232" s="155"/>
    </row>
    <row r="233" spans="1:15" ht="21" x14ac:dyDescent="0.2">
      <c r="A233" s="102" t="s">
        <v>255</v>
      </c>
      <c r="B233" s="92" t="s">
        <v>277</v>
      </c>
      <c r="C233" s="95">
        <f>F232</f>
        <v>0</v>
      </c>
      <c r="D233" s="216">
        <v>0.27</v>
      </c>
      <c r="E233" s="95"/>
      <c r="F233" s="338"/>
      <c r="H233" s="521"/>
    </row>
    <row r="234" spans="1:15" ht="21" customHeight="1" thickBot="1" x14ac:dyDescent="0.25">
      <c r="A234" s="845" t="s">
        <v>279</v>
      </c>
      <c r="B234" s="845"/>
      <c r="C234" s="845"/>
      <c r="D234" s="845"/>
      <c r="E234" s="845"/>
      <c r="F234" s="220">
        <f>F224+F228+F232+F233+F220+F225</f>
        <v>7030000</v>
      </c>
      <c r="G234" s="212">
        <f>SUM(F234-'Kiadások COFOG szerint'!F139)</f>
        <v>0</v>
      </c>
      <c r="M234" s="39"/>
      <c r="N234" s="39"/>
    </row>
    <row r="235" spans="1:15" ht="30" customHeight="1" thickBot="1" x14ac:dyDescent="0.25">
      <c r="A235" s="853" t="s">
        <v>134</v>
      </c>
      <c r="B235" s="853"/>
      <c r="C235" s="853"/>
      <c r="D235" s="853"/>
      <c r="E235" s="853"/>
      <c r="F235" s="853"/>
    </row>
    <row r="236" spans="1:15" ht="18" customHeight="1" x14ac:dyDescent="0.2">
      <c r="A236" s="849" t="s">
        <v>46</v>
      </c>
      <c r="B236" s="850" t="s">
        <v>47</v>
      </c>
      <c r="C236" s="851">
        <v>2023</v>
      </c>
      <c r="D236" s="851"/>
      <c r="E236" s="851"/>
      <c r="F236" s="851"/>
      <c r="L236" s="39"/>
      <c r="M236" s="39"/>
      <c r="N236" s="39"/>
      <c r="O236" s="39"/>
    </row>
    <row r="237" spans="1:15" ht="24.75" customHeight="1" thickBot="1" x14ac:dyDescent="0.25">
      <c r="A237" s="854"/>
      <c r="B237" s="856"/>
      <c r="C237" s="852"/>
      <c r="D237" s="852"/>
      <c r="E237" s="852"/>
      <c r="F237" s="194" t="s">
        <v>510</v>
      </c>
    </row>
    <row r="238" spans="1:15" ht="12.75" customHeight="1" x14ac:dyDescent="0.2">
      <c r="A238" s="86" t="s">
        <v>193</v>
      </c>
      <c r="B238" s="87" t="s">
        <v>280</v>
      </c>
      <c r="C238" s="106"/>
      <c r="D238" s="106"/>
      <c r="E238" s="106"/>
      <c r="F238" s="229">
        <v>0</v>
      </c>
      <c r="H238" s="513"/>
    </row>
    <row r="239" spans="1:15" ht="12.75" customHeight="1" x14ac:dyDescent="0.2">
      <c r="A239" s="86" t="s">
        <v>199</v>
      </c>
      <c r="B239" s="87" t="s">
        <v>200</v>
      </c>
      <c r="C239" s="106"/>
      <c r="D239" s="106"/>
      <c r="E239" s="106"/>
      <c r="F239" s="229">
        <v>0</v>
      </c>
    </row>
    <row r="240" spans="1:15" ht="15" customHeight="1" x14ac:dyDescent="0.2">
      <c r="A240" s="86" t="s">
        <v>253</v>
      </c>
      <c r="B240" s="87" t="s">
        <v>254</v>
      </c>
      <c r="C240" s="106"/>
      <c r="D240" s="106"/>
      <c r="E240" s="106"/>
      <c r="F240" s="226">
        <v>7000000</v>
      </c>
    </row>
    <row r="241" spans="1:12" ht="22.5" customHeight="1" thickBot="1" x14ac:dyDescent="0.25">
      <c r="A241" s="86" t="s">
        <v>255</v>
      </c>
      <c r="B241" s="87" t="s">
        <v>277</v>
      </c>
      <c r="C241" s="106">
        <f>F240</f>
        <v>7000000</v>
      </c>
      <c r="D241" s="207">
        <v>0.27</v>
      </c>
      <c r="E241" s="106">
        <f>C241*D241</f>
        <v>1890000.0000000002</v>
      </c>
      <c r="F241" s="226">
        <v>1890000</v>
      </c>
    </row>
    <row r="242" spans="1:12" ht="21" customHeight="1" thickBot="1" x14ac:dyDescent="0.25">
      <c r="A242" s="845" t="s">
        <v>279</v>
      </c>
      <c r="B242" s="845"/>
      <c r="C242" s="845"/>
      <c r="D242" s="845"/>
      <c r="E242" s="845"/>
      <c r="F242" s="230">
        <f>SUM(F238:F241)</f>
        <v>8890000</v>
      </c>
      <c r="G242" s="212">
        <f>SUM(F242-'Kiadások COFOG szerint'!F147)</f>
        <v>0</v>
      </c>
    </row>
    <row r="243" spans="1:12" ht="21" customHeight="1" thickBot="1" x14ac:dyDescent="0.25">
      <c r="A243" s="853" t="s">
        <v>501</v>
      </c>
      <c r="B243" s="853"/>
      <c r="C243" s="853"/>
      <c r="D243" s="853"/>
      <c r="E243" s="853"/>
      <c r="F243" s="853"/>
    </row>
    <row r="244" spans="1:12" ht="21" customHeight="1" x14ac:dyDescent="0.2">
      <c r="A244" s="849" t="s">
        <v>46</v>
      </c>
      <c r="B244" s="850" t="s">
        <v>47</v>
      </c>
      <c r="C244" s="851">
        <v>2023</v>
      </c>
      <c r="D244" s="851"/>
      <c r="E244" s="851"/>
      <c r="F244" s="851"/>
    </row>
    <row r="245" spans="1:12" ht="21" customHeight="1" thickBot="1" x14ac:dyDescent="0.25">
      <c r="A245" s="855"/>
      <c r="B245" s="857"/>
      <c r="C245" s="852"/>
      <c r="D245" s="852"/>
      <c r="E245" s="852"/>
      <c r="F245" s="194" t="s">
        <v>510</v>
      </c>
    </row>
    <row r="246" spans="1:12" ht="21" customHeight="1" x14ac:dyDescent="0.2">
      <c r="A246" s="548" t="s">
        <v>251</v>
      </c>
      <c r="B246" s="549" t="s">
        <v>252</v>
      </c>
      <c r="C246" s="550"/>
      <c r="D246" s="551">
        <v>0.27</v>
      </c>
      <c r="E246" s="550"/>
      <c r="F246" s="552">
        <f>SUM(F247:F249)</f>
        <v>0</v>
      </c>
    </row>
    <row r="247" spans="1:12" ht="21" customHeight="1" x14ac:dyDescent="0.2">
      <c r="A247" s="327"/>
      <c r="B247" s="151" t="s">
        <v>586</v>
      </c>
      <c r="C247" s="152"/>
      <c r="D247" s="269"/>
      <c r="E247" s="152"/>
      <c r="F247" s="435"/>
      <c r="H247" s="510">
        <v>0.27</v>
      </c>
      <c r="I247" s="77">
        <f>SUM(F247*H247)</f>
        <v>0</v>
      </c>
    </row>
    <row r="248" spans="1:12" ht="21" customHeight="1" x14ac:dyDescent="0.2">
      <c r="A248" s="327"/>
      <c r="B248" s="151" t="s">
        <v>587</v>
      </c>
      <c r="C248" s="152"/>
      <c r="D248" s="269"/>
      <c r="E248" s="152"/>
      <c r="F248" s="435">
        <v>0</v>
      </c>
      <c r="H248" s="510">
        <v>0.27</v>
      </c>
      <c r="I248" s="77">
        <f t="shared" ref="I248:I249" si="7">SUM(F248*H248)</f>
        <v>0</v>
      </c>
    </row>
    <row r="249" spans="1:12" ht="21" customHeight="1" x14ac:dyDescent="0.2">
      <c r="A249" s="327"/>
      <c r="B249" s="151" t="s">
        <v>588</v>
      </c>
      <c r="C249" s="152"/>
      <c r="D249" s="269"/>
      <c r="E249" s="152"/>
      <c r="F249" s="435"/>
      <c r="H249" s="510">
        <v>0.27</v>
      </c>
      <c r="I249" s="77">
        <f t="shared" si="7"/>
        <v>0</v>
      </c>
    </row>
    <row r="250" spans="1:12" ht="21" customHeight="1" thickBot="1" x14ac:dyDescent="0.25">
      <c r="A250" s="553" t="s">
        <v>255</v>
      </c>
      <c r="B250" s="554" t="s">
        <v>277</v>
      </c>
      <c r="C250" s="555"/>
      <c r="D250" s="555"/>
      <c r="E250" s="555"/>
      <c r="F250" s="556"/>
      <c r="I250" s="77">
        <f>SUM(I247:I249)</f>
        <v>0</v>
      </c>
    </row>
    <row r="251" spans="1:12" ht="21" customHeight="1" thickBot="1" x14ac:dyDescent="0.25">
      <c r="A251" s="845" t="s">
        <v>279</v>
      </c>
      <c r="B251" s="845"/>
      <c r="C251" s="845"/>
      <c r="D251" s="845"/>
      <c r="E251" s="845"/>
      <c r="F251" s="230">
        <f>SUM(F246+F250)</f>
        <v>0</v>
      </c>
      <c r="G251" s="212">
        <f>SUM(F251-'Kiadások COFOG szerint'!F153)</f>
        <v>0</v>
      </c>
    </row>
    <row r="252" spans="1:12" ht="27" customHeight="1" thickBot="1" x14ac:dyDescent="0.25">
      <c r="A252" s="853" t="s">
        <v>286</v>
      </c>
      <c r="B252" s="853"/>
      <c r="C252" s="853"/>
      <c r="D252" s="853"/>
      <c r="E252" s="853"/>
      <c r="F252" s="853"/>
    </row>
    <row r="253" spans="1:12" ht="21" customHeight="1" thickBot="1" x14ac:dyDescent="0.25">
      <c r="A253" s="849" t="s">
        <v>46</v>
      </c>
      <c r="B253" s="850" t="s">
        <v>47</v>
      </c>
      <c r="C253" s="851">
        <v>2023</v>
      </c>
      <c r="D253" s="851"/>
      <c r="E253" s="851"/>
      <c r="F253" s="851"/>
    </row>
    <row r="254" spans="1:12" ht="24.75" customHeight="1" thickBot="1" x14ac:dyDescent="0.25">
      <c r="A254" s="863"/>
      <c r="B254" s="864"/>
      <c r="C254" s="852"/>
      <c r="D254" s="852"/>
      <c r="E254" s="852"/>
      <c r="F254" s="194" t="s">
        <v>510</v>
      </c>
    </row>
    <row r="255" spans="1:12" ht="19.5" customHeight="1" x14ac:dyDescent="0.2">
      <c r="A255" s="114" t="s">
        <v>170</v>
      </c>
      <c r="B255" s="87" t="s">
        <v>171</v>
      </c>
      <c r="C255" s="336"/>
      <c r="D255" s="216">
        <v>0.27</v>
      </c>
      <c r="E255" s="336"/>
      <c r="F255" s="339">
        <v>600000</v>
      </c>
    </row>
    <row r="256" spans="1:12" ht="18.75" customHeight="1" x14ac:dyDescent="0.2">
      <c r="A256" s="86" t="s">
        <v>189</v>
      </c>
      <c r="B256" s="87" t="s">
        <v>268</v>
      </c>
      <c r="C256" s="106">
        <v>420000</v>
      </c>
      <c r="D256" s="216">
        <v>0.27</v>
      </c>
      <c r="E256" s="106">
        <v>12</v>
      </c>
      <c r="F256" s="268">
        <f>SUM(C256*E256)</f>
        <v>5040000</v>
      </c>
      <c r="G256" s="273" t="s">
        <v>374</v>
      </c>
      <c r="H256" s="522"/>
      <c r="I256" s="532"/>
      <c r="J256" s="273"/>
      <c r="K256" s="272">
        <f>SUM('Bevételek COFOG szerint 2023'!F47+'Bevételek COFOG szerint 2023'!F53)</f>
        <v>9757500</v>
      </c>
      <c r="L256" s="273" t="s">
        <v>373</v>
      </c>
    </row>
    <row r="257" spans="1:10" ht="18.75" customHeight="1" x14ac:dyDescent="0.2">
      <c r="A257" s="91" t="s">
        <v>199</v>
      </c>
      <c r="B257" s="92" t="s">
        <v>340</v>
      </c>
      <c r="C257" s="95"/>
      <c r="D257" s="216">
        <v>0.27</v>
      </c>
      <c r="E257" s="95"/>
      <c r="F257" s="338">
        <v>2100000</v>
      </c>
    </row>
    <row r="258" spans="1:10" ht="26.25" customHeight="1" thickBot="1" x14ac:dyDescent="0.25">
      <c r="A258" s="102" t="s">
        <v>213</v>
      </c>
      <c r="B258" s="92" t="s">
        <v>271</v>
      </c>
      <c r="C258" s="95">
        <f>F256+F257+F255</f>
        <v>7740000</v>
      </c>
      <c r="D258" s="216">
        <v>0.27</v>
      </c>
      <c r="E258" s="95">
        <f>C258*D258</f>
        <v>2089800.0000000002</v>
      </c>
      <c r="F258" s="338">
        <v>2100000</v>
      </c>
    </row>
    <row r="259" spans="1:10" ht="21" customHeight="1" thickBot="1" x14ac:dyDescent="0.25">
      <c r="A259" s="845" t="s">
        <v>279</v>
      </c>
      <c r="B259" s="845"/>
      <c r="C259" s="845"/>
      <c r="D259" s="845"/>
      <c r="E259" s="845"/>
      <c r="F259" s="220">
        <f>SUM(F255+F256+F257+F258)</f>
        <v>9840000</v>
      </c>
      <c r="G259" s="212">
        <f>SUM(F259-'Kiadások COFOG szerint'!F161)</f>
        <v>0</v>
      </c>
    </row>
    <row r="260" spans="1:10" ht="25.5" customHeight="1" thickBot="1" x14ac:dyDescent="0.25">
      <c r="A260" s="853" t="s">
        <v>287</v>
      </c>
      <c r="B260" s="853"/>
      <c r="C260" s="853"/>
      <c r="D260" s="853"/>
      <c r="E260" s="853"/>
      <c r="F260" s="853"/>
    </row>
    <row r="261" spans="1:10" ht="21.75" customHeight="1" thickBot="1" x14ac:dyDescent="0.25">
      <c r="A261" s="849" t="s">
        <v>46</v>
      </c>
      <c r="B261" s="850" t="s">
        <v>47</v>
      </c>
      <c r="C261" s="851">
        <v>2023</v>
      </c>
      <c r="D261" s="851"/>
      <c r="E261" s="851"/>
      <c r="F261" s="851"/>
    </row>
    <row r="262" spans="1:10" ht="27.75" customHeight="1" thickBot="1" x14ac:dyDescent="0.25">
      <c r="A262" s="849"/>
      <c r="B262" s="850"/>
      <c r="C262" s="852"/>
      <c r="D262" s="852"/>
      <c r="E262" s="852"/>
      <c r="F262" s="194" t="s">
        <v>510</v>
      </c>
    </row>
    <row r="263" spans="1:10" ht="15" customHeight="1" x14ac:dyDescent="0.2">
      <c r="A263" s="906" t="s">
        <v>144</v>
      </c>
      <c r="B263" s="903" t="s">
        <v>145</v>
      </c>
      <c r="C263" s="903"/>
      <c r="D263" s="903"/>
      <c r="E263" s="903"/>
      <c r="F263" s="903"/>
    </row>
    <row r="264" spans="1:10" ht="15" customHeight="1" x14ac:dyDescent="0.2">
      <c r="A264" s="907"/>
      <c r="B264" s="204" t="s">
        <v>696</v>
      </c>
      <c r="C264" s="106">
        <v>290000</v>
      </c>
      <c r="D264" s="197">
        <v>1</v>
      </c>
      <c r="E264" s="197" t="s">
        <v>309</v>
      </c>
      <c r="F264" s="198">
        <f>SUM(C264*D264)</f>
        <v>290000</v>
      </c>
    </row>
    <row r="265" spans="1:10" ht="15" customHeight="1" x14ac:dyDescent="0.2">
      <c r="A265" s="907"/>
      <c r="B265" s="204" t="s">
        <v>697</v>
      </c>
      <c r="C265" s="106">
        <v>296400</v>
      </c>
      <c r="D265" s="197">
        <v>11</v>
      </c>
      <c r="E265" s="197" t="s">
        <v>309</v>
      </c>
      <c r="F265" s="198">
        <f>SUM(C265*D265)</f>
        <v>3260400</v>
      </c>
      <c r="G265" s="212">
        <f>SUM(F264:F265)</f>
        <v>3550400</v>
      </c>
    </row>
    <row r="266" spans="1:10" ht="15" customHeight="1" x14ac:dyDescent="0.2">
      <c r="A266" s="908"/>
      <c r="B266" s="878" t="s">
        <v>342</v>
      </c>
      <c r="C266" s="878"/>
      <c r="D266" s="878"/>
      <c r="E266" s="878"/>
      <c r="F266" s="199">
        <v>3650000</v>
      </c>
    </row>
    <row r="267" spans="1:10" ht="15" customHeight="1" x14ac:dyDescent="0.2">
      <c r="A267" s="175" t="s">
        <v>698</v>
      </c>
      <c r="B267" s="284" t="s">
        <v>699</v>
      </c>
      <c r="C267" s="285"/>
      <c r="D267" s="285"/>
      <c r="E267" s="285"/>
      <c r="F267" s="270">
        <v>150000</v>
      </c>
    </row>
    <row r="268" spans="1:10" ht="15" customHeight="1" x14ac:dyDescent="0.2">
      <c r="A268" s="175" t="s">
        <v>424</v>
      </c>
      <c r="B268" s="284" t="s">
        <v>555</v>
      </c>
      <c r="C268" s="285"/>
      <c r="D268" s="285"/>
      <c r="E268" s="285"/>
      <c r="F268" s="270">
        <v>100000</v>
      </c>
    </row>
    <row r="269" spans="1:10" ht="15" customHeight="1" x14ac:dyDescent="0.2">
      <c r="A269" s="87" t="s">
        <v>146</v>
      </c>
      <c r="B269" s="284" t="s">
        <v>147</v>
      </c>
      <c r="C269" s="285"/>
      <c r="D269" s="285"/>
      <c r="E269" s="285"/>
      <c r="F269" s="270"/>
    </row>
    <row r="270" spans="1:10" ht="15" customHeight="1" x14ac:dyDescent="0.2">
      <c r="A270" s="87" t="s">
        <v>148</v>
      </c>
      <c r="B270" s="326" t="s">
        <v>343</v>
      </c>
      <c r="C270" s="201">
        <v>1000</v>
      </c>
      <c r="D270" s="215">
        <v>12</v>
      </c>
      <c r="E270" s="215" t="s">
        <v>309</v>
      </c>
      <c r="F270" s="199"/>
      <c r="J270" s="111"/>
    </row>
    <row r="271" spans="1:10" ht="15" customHeight="1" x14ac:dyDescent="0.2">
      <c r="A271" s="904" t="s">
        <v>150</v>
      </c>
      <c r="B271" s="326" t="s">
        <v>151</v>
      </c>
      <c r="C271" s="201"/>
      <c r="D271" s="215">
        <v>12</v>
      </c>
      <c r="E271" s="215" t="s">
        <v>309</v>
      </c>
      <c r="F271" s="199">
        <f>SUM(F272:F274)</f>
        <v>160000</v>
      </c>
      <c r="J271" s="111"/>
    </row>
    <row r="272" spans="1:10" ht="15" customHeight="1" x14ac:dyDescent="0.2">
      <c r="A272" s="904"/>
      <c r="B272" s="87" t="s">
        <v>700</v>
      </c>
      <c r="C272" s="106">
        <v>4000</v>
      </c>
      <c r="D272" s="197">
        <v>1</v>
      </c>
      <c r="E272" s="197"/>
      <c r="F272" s="198">
        <f>SUM(C272*D272)</f>
        <v>4000</v>
      </c>
      <c r="J272" s="111"/>
    </row>
    <row r="273" spans="1:12" ht="15" customHeight="1" x14ac:dyDescent="0.2">
      <c r="A273" s="904"/>
      <c r="B273" s="87" t="s">
        <v>701</v>
      </c>
      <c r="C273" s="106">
        <v>5000</v>
      </c>
      <c r="D273" s="197">
        <v>11</v>
      </c>
      <c r="E273" s="197"/>
      <c r="F273" s="198">
        <f>SUM(C273*D273)</f>
        <v>55000</v>
      </c>
      <c r="J273" s="111"/>
    </row>
    <row r="274" spans="1:12" ht="15" customHeight="1" x14ac:dyDescent="0.2">
      <c r="A274" s="904"/>
      <c r="B274" s="87" t="s">
        <v>551</v>
      </c>
      <c r="C274" s="106"/>
      <c r="D274" s="197"/>
      <c r="E274" s="197"/>
      <c r="F274" s="198">
        <v>101000</v>
      </c>
      <c r="J274" s="111"/>
    </row>
    <row r="275" spans="1:12" ht="21" x14ac:dyDescent="0.2">
      <c r="A275" s="741" t="s">
        <v>154</v>
      </c>
      <c r="B275" s="326" t="s">
        <v>313</v>
      </c>
      <c r="C275" s="326"/>
      <c r="D275" s="326"/>
      <c r="E275" s="326"/>
      <c r="F275" s="742">
        <f>SUM(F276:F277)</f>
        <v>2460000</v>
      </c>
      <c r="J275" s="111"/>
    </row>
    <row r="276" spans="1:12" x14ac:dyDescent="0.2">
      <c r="A276" s="741"/>
      <c r="B276" s="87" t="s">
        <v>667</v>
      </c>
      <c r="C276" s="87">
        <v>25000</v>
      </c>
      <c r="D276" s="87">
        <v>12</v>
      </c>
      <c r="E276" s="87"/>
      <c r="F276" s="198">
        <f>SUM(C276*D276)</f>
        <v>300000</v>
      </c>
      <c r="J276" s="111"/>
    </row>
    <row r="277" spans="1:12" x14ac:dyDescent="0.2">
      <c r="A277" s="741"/>
      <c r="B277" s="87" t="s">
        <v>668</v>
      </c>
      <c r="C277" s="87">
        <v>180000</v>
      </c>
      <c r="D277" s="87">
        <v>12</v>
      </c>
      <c r="E277" s="87"/>
      <c r="F277" s="198">
        <f>SUM(C277*D277)</f>
        <v>2160000</v>
      </c>
      <c r="J277" s="111"/>
    </row>
    <row r="278" spans="1:12" ht="15" customHeight="1" x14ac:dyDescent="0.2">
      <c r="A278" s="905" t="s">
        <v>158</v>
      </c>
      <c r="B278" s="326" t="s">
        <v>633</v>
      </c>
      <c r="C278" s="225"/>
      <c r="D278" s="225"/>
      <c r="E278" s="232">
        <f>C279*D278</f>
        <v>0</v>
      </c>
      <c r="F278" s="199">
        <v>900000</v>
      </c>
      <c r="J278" s="111"/>
      <c r="K278" s="155"/>
      <c r="L278" s="111"/>
    </row>
    <row r="279" spans="1:12" ht="15" customHeight="1" x14ac:dyDescent="0.2">
      <c r="A279" s="905"/>
      <c r="B279" s="87" t="s">
        <v>640</v>
      </c>
      <c r="C279" s="106">
        <f>SUM(F266+F268+F270+F271+F275+F267)</f>
        <v>6520000</v>
      </c>
      <c r="D279" s="202">
        <v>0.13</v>
      </c>
      <c r="E279" s="719"/>
      <c r="F279" s="198">
        <f>SUM(C279*D279)</f>
        <v>847600</v>
      </c>
      <c r="J279" s="111"/>
      <c r="K279" s="155"/>
      <c r="L279" s="111"/>
    </row>
    <row r="280" spans="1:12" ht="15" customHeight="1" x14ac:dyDescent="0.2">
      <c r="A280" s="905"/>
      <c r="B280" s="87" t="s">
        <v>625</v>
      </c>
      <c r="C280" s="106">
        <f>SUM(F268)</f>
        <v>100000</v>
      </c>
      <c r="D280" s="202">
        <v>0.15</v>
      </c>
      <c r="E280" s="719"/>
      <c r="F280" s="198">
        <f>SUM(C280*D280)</f>
        <v>15000</v>
      </c>
      <c r="J280" s="111"/>
      <c r="K280" s="155"/>
      <c r="L280" s="111"/>
    </row>
    <row r="281" spans="1:12" ht="15" customHeight="1" x14ac:dyDescent="0.2">
      <c r="A281" s="188" t="s">
        <v>164</v>
      </c>
      <c r="B281" s="326" t="s">
        <v>163</v>
      </c>
      <c r="C281" s="201"/>
      <c r="D281" s="206"/>
      <c r="E281" s="201"/>
      <c r="F281" s="199">
        <v>0</v>
      </c>
      <c r="G281" s="212"/>
    </row>
    <row r="282" spans="1:12" ht="15" customHeight="1" x14ac:dyDescent="0.2">
      <c r="A282" s="905" t="s">
        <v>170</v>
      </c>
      <c r="B282" s="326" t="s">
        <v>171</v>
      </c>
      <c r="C282" s="201"/>
      <c r="D282" s="206"/>
      <c r="E282" s="201"/>
      <c r="F282" s="199">
        <f>SUM(F283:F287)</f>
        <v>2500000</v>
      </c>
    </row>
    <row r="283" spans="1:12" ht="15" customHeight="1" x14ac:dyDescent="0.2">
      <c r="A283" s="905"/>
      <c r="B283" s="87" t="s">
        <v>589</v>
      </c>
      <c r="C283" s="106"/>
      <c r="D283" s="207">
        <v>0.27</v>
      </c>
      <c r="E283" s="106"/>
      <c r="F283" s="198">
        <v>1000000</v>
      </c>
      <c r="I283" s="77">
        <f>SUM(F283*D283)</f>
        <v>270000</v>
      </c>
    </row>
    <row r="284" spans="1:12" ht="15" customHeight="1" x14ac:dyDescent="0.2">
      <c r="A284" s="905"/>
      <c r="B284" s="87" t="s">
        <v>590</v>
      </c>
      <c r="C284" s="106"/>
      <c r="D284" s="207">
        <v>0.27</v>
      </c>
      <c r="E284" s="106"/>
      <c r="F284" s="198">
        <v>240000</v>
      </c>
      <c r="I284" s="77">
        <f t="shared" ref="I284:I304" si="8">SUM(F284*D284)</f>
        <v>64800.000000000007</v>
      </c>
    </row>
    <row r="285" spans="1:12" ht="15" customHeight="1" x14ac:dyDescent="0.2">
      <c r="A285" s="905"/>
      <c r="B285" s="87" t="s">
        <v>641</v>
      </c>
      <c r="C285" s="106"/>
      <c r="D285" s="207">
        <v>0.27</v>
      </c>
      <c r="E285" s="106"/>
      <c r="F285" s="198">
        <v>200000</v>
      </c>
      <c r="I285" s="77">
        <f t="shared" si="8"/>
        <v>54000</v>
      </c>
    </row>
    <row r="286" spans="1:12" ht="15" customHeight="1" x14ac:dyDescent="0.2">
      <c r="A286" s="905"/>
      <c r="B286" s="87" t="s">
        <v>319</v>
      </c>
      <c r="C286" s="106"/>
      <c r="D286" s="207">
        <v>0.27</v>
      </c>
      <c r="E286" s="106"/>
      <c r="F286" s="198">
        <v>60000</v>
      </c>
      <c r="I286" s="77">
        <f t="shared" si="8"/>
        <v>16200.000000000002</v>
      </c>
    </row>
    <row r="287" spans="1:12" ht="15" customHeight="1" x14ac:dyDescent="0.2">
      <c r="A287" s="905"/>
      <c r="B287" s="87" t="s">
        <v>344</v>
      </c>
      <c r="C287" s="106"/>
      <c r="D287" s="207">
        <v>0.27</v>
      </c>
      <c r="E287" s="106"/>
      <c r="F287" s="198">
        <v>1000000</v>
      </c>
      <c r="G287" s="212"/>
      <c r="I287" s="77">
        <f t="shared" si="8"/>
        <v>270000</v>
      </c>
    </row>
    <row r="288" spans="1:12" ht="15" customHeight="1" x14ac:dyDescent="0.2">
      <c r="A288" s="904" t="s">
        <v>426</v>
      </c>
      <c r="B288" s="724" t="s">
        <v>321</v>
      </c>
      <c r="C288" s="725"/>
      <c r="D288" s="725"/>
      <c r="E288" s="725"/>
      <c r="F288" s="761">
        <f>SUM(F289)</f>
        <v>165600</v>
      </c>
      <c r="G288" s="212"/>
      <c r="I288" s="77"/>
    </row>
    <row r="289" spans="1:9" ht="15" customHeight="1" x14ac:dyDescent="0.2">
      <c r="A289" s="904"/>
      <c r="B289" s="211" t="s">
        <v>594</v>
      </c>
      <c r="C289" s="106">
        <v>13800</v>
      </c>
      <c r="D289" s="207">
        <v>0.05</v>
      </c>
      <c r="E289" s="87">
        <v>12</v>
      </c>
      <c r="F289" s="723">
        <f>SUM(C289*E289)</f>
        <v>165600</v>
      </c>
      <c r="G289" s="212"/>
      <c r="I289" s="77">
        <f t="shared" si="8"/>
        <v>8280</v>
      </c>
    </row>
    <row r="290" spans="1:9" ht="15" customHeight="1" x14ac:dyDescent="0.2">
      <c r="A290" s="904" t="s">
        <v>187</v>
      </c>
      <c r="B290" s="724" t="s">
        <v>288</v>
      </c>
      <c r="C290" s="725"/>
      <c r="D290" s="725"/>
      <c r="E290" s="725"/>
      <c r="F290" s="761">
        <f>SUM(F291:F293)</f>
        <v>1030000</v>
      </c>
      <c r="G290" s="212"/>
      <c r="I290" s="77"/>
    </row>
    <row r="291" spans="1:9" ht="15" customHeight="1" x14ac:dyDescent="0.2">
      <c r="A291" s="904"/>
      <c r="B291" s="727" t="s">
        <v>268</v>
      </c>
      <c r="C291" s="106"/>
      <c r="D291" s="207">
        <v>0.27</v>
      </c>
      <c r="E291" s="106"/>
      <c r="F291" s="198">
        <v>500000</v>
      </c>
      <c r="G291" s="212"/>
      <c r="I291" s="77">
        <f t="shared" si="8"/>
        <v>135000</v>
      </c>
    </row>
    <row r="292" spans="1:9" ht="15" customHeight="1" x14ac:dyDescent="0.2">
      <c r="A292" s="904"/>
      <c r="B292" s="727" t="s">
        <v>269</v>
      </c>
      <c r="C292" s="106"/>
      <c r="D292" s="207">
        <v>0.27</v>
      </c>
      <c r="E292" s="106"/>
      <c r="F292" s="198">
        <v>500000</v>
      </c>
      <c r="G292" s="212"/>
      <c r="I292" s="77">
        <f t="shared" si="8"/>
        <v>135000</v>
      </c>
    </row>
    <row r="293" spans="1:9" ht="15" customHeight="1" x14ac:dyDescent="0.2">
      <c r="A293" s="904"/>
      <c r="B293" s="727" t="s">
        <v>280</v>
      </c>
      <c r="C293" s="106"/>
      <c r="D293" s="207">
        <v>0.27</v>
      </c>
      <c r="E293" s="106"/>
      <c r="F293" s="198">
        <v>30000</v>
      </c>
      <c r="G293" s="212"/>
      <c r="I293" s="77">
        <f t="shared" si="8"/>
        <v>8100.0000000000009</v>
      </c>
    </row>
    <row r="294" spans="1:9" ht="15" customHeight="1" x14ac:dyDescent="0.2">
      <c r="A294" s="87" t="s">
        <v>197</v>
      </c>
      <c r="B294" s="326" t="s">
        <v>198</v>
      </c>
      <c r="C294" s="201"/>
      <c r="D294" s="206">
        <v>0.27</v>
      </c>
      <c r="E294" s="201"/>
      <c r="F294" s="199">
        <v>0</v>
      </c>
      <c r="G294" s="212"/>
      <c r="I294" s="77">
        <f t="shared" si="8"/>
        <v>0</v>
      </c>
    </row>
    <row r="295" spans="1:9" ht="15" customHeight="1" x14ac:dyDescent="0.2">
      <c r="A295" s="86" t="s">
        <v>199</v>
      </c>
      <c r="B295" s="724" t="s">
        <v>200</v>
      </c>
      <c r="C295" s="725"/>
      <c r="D295" s="725"/>
      <c r="E295" s="725"/>
      <c r="F295" s="726">
        <f>SUM(F296:F297)</f>
        <v>650000</v>
      </c>
      <c r="G295" s="212"/>
      <c r="I295" s="77">
        <f t="shared" si="8"/>
        <v>0</v>
      </c>
    </row>
    <row r="296" spans="1:9" ht="15" customHeight="1" x14ac:dyDescent="0.2">
      <c r="A296" s="102"/>
      <c r="B296" s="87" t="s">
        <v>593</v>
      </c>
      <c r="C296" s="106"/>
      <c r="D296" s="207">
        <v>0.27</v>
      </c>
      <c r="E296" s="106"/>
      <c r="F296" s="198">
        <v>350000</v>
      </c>
      <c r="G296" s="212"/>
      <c r="I296" s="77">
        <f t="shared" si="8"/>
        <v>94500</v>
      </c>
    </row>
    <row r="297" spans="1:9" ht="15" customHeight="1" x14ac:dyDescent="0.2">
      <c r="A297" s="102"/>
      <c r="B297" s="87" t="s">
        <v>345</v>
      </c>
      <c r="C297" s="106"/>
      <c r="D297" s="207">
        <v>0.27</v>
      </c>
      <c r="E297" s="106"/>
      <c r="F297" s="198">
        <v>300000</v>
      </c>
      <c r="G297" s="212"/>
      <c r="H297" s="513"/>
      <c r="I297" s="77">
        <f t="shared" si="8"/>
        <v>81000</v>
      </c>
    </row>
    <row r="298" spans="1:9" ht="15" customHeight="1" x14ac:dyDescent="0.2">
      <c r="A298" s="102" t="s">
        <v>203</v>
      </c>
      <c r="B298" s="720" t="s">
        <v>204</v>
      </c>
      <c r="C298" s="721"/>
      <c r="D298" s="721"/>
      <c r="E298" s="721"/>
      <c r="F298" s="722">
        <v>15000</v>
      </c>
      <c r="G298" s="212"/>
      <c r="I298" s="77">
        <f t="shared" si="8"/>
        <v>0</v>
      </c>
    </row>
    <row r="299" spans="1:9" ht="15" customHeight="1" x14ac:dyDescent="0.2">
      <c r="A299" s="102" t="s">
        <v>205</v>
      </c>
      <c r="B299" s="724" t="s">
        <v>206</v>
      </c>
      <c r="C299" s="725"/>
      <c r="D299" s="725"/>
      <c r="E299" s="725"/>
      <c r="F299" s="726">
        <f>SUM(F300:F303)</f>
        <v>2200000</v>
      </c>
      <c r="G299" s="212"/>
      <c r="I299" s="77">
        <f t="shared" si="8"/>
        <v>0</v>
      </c>
    </row>
    <row r="300" spans="1:9" ht="15" customHeight="1" x14ac:dyDescent="0.2">
      <c r="A300" s="200"/>
      <c r="B300" s="204" t="s">
        <v>642</v>
      </c>
      <c r="C300" s="106">
        <v>25300</v>
      </c>
      <c r="D300" s="207">
        <v>0.27</v>
      </c>
      <c r="E300" s="106">
        <v>12</v>
      </c>
      <c r="F300" s="198">
        <f>SUM(C300*E300)</f>
        <v>303600</v>
      </c>
      <c r="G300" s="557"/>
      <c r="I300" s="77">
        <f t="shared" si="8"/>
        <v>81972</v>
      </c>
    </row>
    <row r="301" spans="1:9" ht="15" customHeight="1" x14ac:dyDescent="0.2">
      <c r="A301" s="200"/>
      <c r="B301" s="204" t="s">
        <v>643</v>
      </c>
      <c r="C301" s="106"/>
      <c r="D301" s="207">
        <v>0.27</v>
      </c>
      <c r="E301" s="106"/>
      <c r="F301" s="198">
        <v>150000</v>
      </c>
      <c r="G301" s="557"/>
      <c r="I301" s="77">
        <f t="shared" si="8"/>
        <v>40500</v>
      </c>
    </row>
    <row r="302" spans="1:9" ht="15" customHeight="1" x14ac:dyDescent="0.2">
      <c r="A302" s="200"/>
      <c r="B302" s="204" t="s">
        <v>208</v>
      </c>
      <c r="C302" s="106"/>
      <c r="D302" s="207"/>
      <c r="E302" s="106"/>
      <c r="F302" s="198">
        <v>1200000</v>
      </c>
      <c r="G302" s="557"/>
      <c r="I302" s="77"/>
    </row>
    <row r="303" spans="1:9" ht="15" customHeight="1" x14ac:dyDescent="0.2">
      <c r="A303" s="200"/>
      <c r="B303" s="204" t="s">
        <v>210</v>
      </c>
      <c r="C303" s="106"/>
      <c r="D303" s="207">
        <v>0.27</v>
      </c>
      <c r="E303" s="106"/>
      <c r="F303" s="198">
        <v>546400</v>
      </c>
      <c r="G303" s="212"/>
      <c r="I303" s="77">
        <f t="shared" si="8"/>
        <v>147528</v>
      </c>
    </row>
    <row r="304" spans="1:9" ht="15" customHeight="1" x14ac:dyDescent="0.2">
      <c r="A304" s="86" t="s">
        <v>211</v>
      </c>
      <c r="B304" s="720" t="s">
        <v>212</v>
      </c>
      <c r="C304" s="721"/>
      <c r="D304" s="721"/>
      <c r="E304" s="721"/>
      <c r="F304" s="722">
        <v>0</v>
      </c>
      <c r="G304" s="212"/>
      <c r="I304" s="77">
        <f t="shared" si="8"/>
        <v>0</v>
      </c>
    </row>
    <row r="305" spans="1:15" ht="21.75" customHeight="1" x14ac:dyDescent="0.2">
      <c r="A305" s="102" t="s">
        <v>213</v>
      </c>
      <c r="B305" s="326" t="s">
        <v>271</v>
      </c>
      <c r="C305" s="201"/>
      <c r="D305" s="206">
        <v>0.27</v>
      </c>
      <c r="E305" s="201"/>
      <c r="F305" s="199">
        <v>1500000</v>
      </c>
      <c r="G305" s="221"/>
      <c r="I305" s="77">
        <f>SUM(I283:I304)</f>
        <v>1406880</v>
      </c>
      <c r="J305" s="111"/>
    </row>
    <row r="306" spans="1:15" ht="15" customHeight="1" x14ac:dyDescent="0.2">
      <c r="A306" s="91" t="s">
        <v>217</v>
      </c>
      <c r="B306" s="283" t="s">
        <v>419</v>
      </c>
      <c r="C306" s="321"/>
      <c r="D306" s="347"/>
      <c r="E306" s="321"/>
      <c r="F306" s="199">
        <v>0</v>
      </c>
      <c r="G306" s="221"/>
      <c r="J306" s="111"/>
    </row>
    <row r="307" spans="1:15" ht="17.25" customHeight="1" x14ac:dyDescent="0.2">
      <c r="A307" s="102" t="s">
        <v>247</v>
      </c>
      <c r="B307" s="859" t="s">
        <v>248</v>
      </c>
      <c r="C307" s="859"/>
      <c r="D307" s="859"/>
      <c r="E307" s="859"/>
      <c r="F307" s="859"/>
      <c r="G307" s="344" t="s">
        <v>418</v>
      </c>
      <c r="H307" s="518"/>
      <c r="I307" s="529"/>
      <c r="J307" s="345"/>
      <c r="K307" s="346">
        <f>SUM('Bevételek COFOG szerint 2023'!F46)</f>
        <v>4446000</v>
      </c>
    </row>
    <row r="308" spans="1:15" ht="17.25" customHeight="1" x14ac:dyDescent="0.2">
      <c r="A308" s="200"/>
      <c r="B308" s="159" t="s">
        <v>717</v>
      </c>
      <c r="C308" s="95"/>
      <c r="D308" s="95"/>
      <c r="E308" s="95"/>
      <c r="F308" s="190">
        <v>200000</v>
      </c>
      <c r="J308" s="111"/>
    </row>
    <row r="309" spans="1:15" ht="16.5" customHeight="1" x14ac:dyDescent="0.2">
      <c r="A309" s="150"/>
      <c r="B309" s="858" t="s">
        <v>346</v>
      </c>
      <c r="C309" s="858"/>
      <c r="D309" s="858"/>
      <c r="E309" s="858"/>
      <c r="F309" s="217">
        <f>F308</f>
        <v>200000</v>
      </c>
      <c r="H309" s="513"/>
    </row>
    <row r="310" spans="1:15" ht="26.25" customHeight="1" x14ac:dyDescent="0.2">
      <c r="A310" s="200" t="s">
        <v>249</v>
      </c>
      <c r="B310" s="328" t="s">
        <v>276</v>
      </c>
      <c r="C310" s="329">
        <f>F309</f>
        <v>200000</v>
      </c>
      <c r="D310" s="219">
        <v>0.27</v>
      </c>
      <c r="E310" s="329">
        <f>C310*D310</f>
        <v>54000</v>
      </c>
      <c r="F310" s="217">
        <v>54000</v>
      </c>
      <c r="H310" s="523"/>
      <c r="J310" s="111"/>
    </row>
    <row r="311" spans="1:15" ht="26.25" customHeight="1" x14ac:dyDescent="0.2">
      <c r="A311" s="560" t="s">
        <v>297</v>
      </c>
      <c r="B311" s="360" t="s">
        <v>417</v>
      </c>
      <c r="C311" s="196"/>
      <c r="D311" s="561">
        <v>0.27</v>
      </c>
      <c r="E311" s="196"/>
      <c r="F311" s="362"/>
      <c r="H311" s="523"/>
      <c r="J311" s="111"/>
      <c r="K311" s="213"/>
      <c r="L311" s="213"/>
      <c r="M311" s="213"/>
      <c r="N311" s="131"/>
      <c r="O311" s="131"/>
    </row>
    <row r="312" spans="1:15" ht="26.25" customHeight="1" x14ac:dyDescent="0.2">
      <c r="A312" s="91" t="s">
        <v>298</v>
      </c>
      <c r="B312" s="328" t="s">
        <v>277</v>
      </c>
      <c r="C312" s="329">
        <f>F311</f>
        <v>0</v>
      </c>
      <c r="D312" s="219">
        <v>0.27</v>
      </c>
      <c r="E312" s="329"/>
      <c r="F312" s="217"/>
      <c r="H312" s="523"/>
      <c r="J312" s="111"/>
      <c r="K312" s="213"/>
      <c r="L312" s="213"/>
      <c r="M312" s="213"/>
      <c r="N312" s="131"/>
      <c r="O312" s="131"/>
    </row>
    <row r="313" spans="1:15" ht="33.75" customHeight="1" thickBot="1" x14ac:dyDescent="0.25">
      <c r="A313" s="104" t="s">
        <v>420</v>
      </c>
      <c r="B313" s="233" t="s">
        <v>421</v>
      </c>
      <c r="C313" s="234"/>
      <c r="D313" s="235"/>
      <c r="E313" s="234"/>
      <c r="F313" s="236">
        <v>0</v>
      </c>
      <c r="H313" s="523"/>
      <c r="J313" s="111"/>
      <c r="K313" s="213"/>
      <c r="L313" s="213"/>
      <c r="M313" s="213"/>
      <c r="N313" s="131"/>
      <c r="O313" s="131"/>
    </row>
    <row r="314" spans="1:15" ht="23.25" customHeight="1" thickBot="1" x14ac:dyDescent="0.25">
      <c r="A314" s="902" t="s">
        <v>279</v>
      </c>
      <c r="B314" s="902"/>
      <c r="C314" s="902"/>
      <c r="D314" s="902"/>
      <c r="E314" s="902"/>
      <c r="F314" s="348">
        <f>F266+F267+F268+F269+F270+F271+F278+F281+F282+F288+F290+F294+F295+F298+F299+F304+F305+F306+F309+F310+F312+F313</f>
        <v>13274600</v>
      </c>
      <c r="G314" s="212">
        <f>SUM(F314-'Kiadások COFOG szerint'!F187)</f>
        <v>0</v>
      </c>
      <c r="K314" s="213"/>
      <c r="L314" s="213"/>
      <c r="M314" s="213"/>
      <c r="N314" s="131"/>
      <c r="O314" s="131"/>
    </row>
    <row r="315" spans="1:15" ht="24" customHeight="1" thickBot="1" x14ac:dyDescent="0.25">
      <c r="A315" s="853" t="s">
        <v>135</v>
      </c>
      <c r="B315" s="853"/>
      <c r="C315" s="853"/>
      <c r="D315" s="853"/>
      <c r="E315" s="853"/>
      <c r="F315" s="853"/>
      <c r="K315" s="213"/>
      <c r="L315" s="213"/>
      <c r="M315" s="213"/>
      <c r="N315" s="131"/>
      <c r="O315" s="131"/>
    </row>
    <row r="316" spans="1:15" ht="23.25" customHeight="1" thickBot="1" x14ac:dyDescent="0.25">
      <c r="A316" s="849" t="s">
        <v>46</v>
      </c>
      <c r="B316" s="850" t="s">
        <v>47</v>
      </c>
      <c r="C316" s="851">
        <v>2023</v>
      </c>
      <c r="D316" s="851"/>
      <c r="E316" s="851"/>
      <c r="F316" s="851"/>
      <c r="G316" s="356" t="s">
        <v>684</v>
      </c>
      <c r="K316" s="213"/>
      <c r="L316" s="213"/>
      <c r="M316" s="213"/>
      <c r="N316" s="131"/>
      <c r="O316" s="131"/>
    </row>
    <row r="317" spans="1:15" ht="25.5" customHeight="1" thickBot="1" x14ac:dyDescent="0.25">
      <c r="A317" s="849"/>
      <c r="B317" s="850"/>
      <c r="C317" s="852"/>
      <c r="D317" s="852"/>
      <c r="E317" s="852"/>
      <c r="F317" s="194" t="s">
        <v>510</v>
      </c>
      <c r="H317" s="510" t="s">
        <v>549</v>
      </c>
      <c r="J317" s="119">
        <f>SUM('Bevételek COFOG szerint 2023'!F116)</f>
        <v>4936200</v>
      </c>
      <c r="K317" s="213"/>
      <c r="L317" s="213"/>
      <c r="M317" s="213"/>
      <c r="N317" s="131"/>
      <c r="O317" s="131"/>
    </row>
    <row r="318" spans="1:15" ht="15" customHeight="1" x14ac:dyDescent="0.2">
      <c r="A318" s="102" t="s">
        <v>142</v>
      </c>
      <c r="B318" s="204" t="s">
        <v>143</v>
      </c>
      <c r="C318" s="112"/>
      <c r="D318" s="106"/>
      <c r="E318" s="106"/>
      <c r="F318" s="237"/>
    </row>
    <row r="319" spans="1:15" ht="15" customHeight="1" x14ac:dyDescent="0.2">
      <c r="A319" s="200"/>
      <c r="B319" s="204" t="s">
        <v>702</v>
      </c>
      <c r="C319" s="106">
        <v>630000</v>
      </c>
      <c r="D319" s="197">
        <v>7</v>
      </c>
      <c r="E319" s="197" t="s">
        <v>309</v>
      </c>
      <c r="F319" s="237">
        <f>SUM(C319*D319)</f>
        <v>4410000</v>
      </c>
    </row>
    <row r="320" spans="1:15" ht="15" customHeight="1" x14ac:dyDescent="0.2">
      <c r="A320" s="86"/>
      <c r="B320" s="878" t="s">
        <v>347</v>
      </c>
      <c r="C320" s="878"/>
      <c r="D320" s="878"/>
      <c r="E320" s="878"/>
      <c r="F320" s="199">
        <f>SUM(F319)</f>
        <v>4410000</v>
      </c>
    </row>
    <row r="321" spans="1:11" ht="15" customHeight="1" x14ac:dyDescent="0.2">
      <c r="A321" s="327" t="s">
        <v>698</v>
      </c>
      <c r="B321" s="878" t="s">
        <v>703</v>
      </c>
      <c r="C321" s="878"/>
      <c r="D321" s="878"/>
      <c r="E321" s="878"/>
      <c r="F321" s="199">
        <f>SUM(F322:F323)</f>
        <v>250000</v>
      </c>
    </row>
    <row r="322" spans="1:11" ht="15" customHeight="1" x14ac:dyDescent="0.2">
      <c r="A322" s="327"/>
      <c r="B322" s="87" t="s">
        <v>704</v>
      </c>
      <c r="C322" s="106"/>
      <c r="D322" s="197"/>
      <c r="E322" s="197"/>
      <c r="F322" s="198">
        <v>200000</v>
      </c>
    </row>
    <row r="323" spans="1:11" ht="15" customHeight="1" x14ac:dyDescent="0.2">
      <c r="A323" s="327"/>
      <c r="B323" s="87" t="s">
        <v>669</v>
      </c>
      <c r="C323" s="106"/>
      <c r="D323" s="197"/>
      <c r="E323" s="197"/>
      <c r="F323" s="198">
        <v>50000</v>
      </c>
    </row>
    <row r="324" spans="1:11" ht="15" customHeight="1" x14ac:dyDescent="0.2">
      <c r="A324" s="327" t="s">
        <v>422</v>
      </c>
      <c r="B324" s="878" t="s">
        <v>423</v>
      </c>
      <c r="C324" s="878"/>
      <c r="D324" s="878"/>
      <c r="E324" s="878"/>
      <c r="F324" s="199">
        <v>100000</v>
      </c>
    </row>
    <row r="325" spans="1:11" ht="15" customHeight="1" x14ac:dyDescent="0.2">
      <c r="A325" s="327" t="s">
        <v>535</v>
      </c>
      <c r="B325" s="878" t="s">
        <v>536</v>
      </c>
      <c r="C325" s="878"/>
      <c r="D325" s="878"/>
      <c r="E325" s="878" t="s">
        <v>309</v>
      </c>
      <c r="F325" s="199">
        <v>0</v>
      </c>
    </row>
    <row r="326" spans="1:11" ht="15" customHeight="1" x14ac:dyDescent="0.2">
      <c r="A326" s="327" t="s">
        <v>424</v>
      </c>
      <c r="B326" s="878" t="s">
        <v>425</v>
      </c>
      <c r="C326" s="878"/>
      <c r="D326" s="878"/>
      <c r="E326" s="878"/>
      <c r="F326" s="199">
        <v>100000</v>
      </c>
    </row>
    <row r="327" spans="1:11" ht="15" customHeight="1" x14ac:dyDescent="0.2">
      <c r="A327" s="327" t="s">
        <v>146</v>
      </c>
      <c r="B327" s="878" t="s">
        <v>147</v>
      </c>
      <c r="C327" s="878"/>
      <c r="D327" s="878"/>
      <c r="E327" s="878"/>
      <c r="F327" s="199"/>
    </row>
    <row r="328" spans="1:11" ht="15" customHeight="1" x14ac:dyDescent="0.2">
      <c r="A328" s="86" t="s">
        <v>148</v>
      </c>
      <c r="B328" s="878" t="s">
        <v>149</v>
      </c>
      <c r="C328" s="878"/>
      <c r="D328" s="878"/>
      <c r="E328" s="878"/>
      <c r="F328" s="199"/>
      <c r="K328" s="155"/>
    </row>
    <row r="329" spans="1:11" ht="15" customHeight="1" x14ac:dyDescent="0.2">
      <c r="A329" s="114" t="s">
        <v>291</v>
      </c>
      <c r="B329" s="878" t="s">
        <v>151</v>
      </c>
      <c r="C329" s="878"/>
      <c r="D329" s="878"/>
      <c r="E329" s="878"/>
      <c r="F329" s="199">
        <f>SUM(F330:F331)</f>
        <v>100000</v>
      </c>
      <c r="K329" s="155"/>
    </row>
    <row r="330" spans="1:11" ht="15" customHeight="1" x14ac:dyDescent="0.2">
      <c r="A330" s="114"/>
      <c r="B330" s="87" t="s">
        <v>550</v>
      </c>
      <c r="C330" s="383">
        <v>5000</v>
      </c>
      <c r="D330" s="383">
        <v>7</v>
      </c>
      <c r="E330" s="383">
        <v>1</v>
      </c>
      <c r="F330" s="268">
        <f>SUM(C330*D330)</f>
        <v>35000</v>
      </c>
      <c r="K330" s="155"/>
    </row>
    <row r="331" spans="1:11" ht="15" customHeight="1" x14ac:dyDescent="0.2">
      <c r="A331" s="114"/>
      <c r="B331" s="87" t="s">
        <v>551</v>
      </c>
      <c r="C331" s="383"/>
      <c r="D331" s="383"/>
      <c r="E331" s="383"/>
      <c r="F331" s="268">
        <v>65000</v>
      </c>
      <c r="K331" s="155"/>
    </row>
    <row r="332" spans="1:11" ht="27" customHeight="1" x14ac:dyDescent="0.2">
      <c r="A332" s="114" t="s">
        <v>154</v>
      </c>
      <c r="B332" s="878" t="s">
        <v>155</v>
      </c>
      <c r="C332" s="878"/>
      <c r="D332" s="878"/>
      <c r="E332" s="878"/>
      <c r="F332" s="199">
        <f>SUM(F333:F334)</f>
        <v>1180000</v>
      </c>
    </row>
    <row r="333" spans="1:11" ht="15" customHeight="1" x14ac:dyDescent="0.2">
      <c r="A333" s="114"/>
      <c r="B333" s="87" t="s">
        <v>669</v>
      </c>
      <c r="C333" s="383">
        <v>80000</v>
      </c>
      <c r="D333" s="383">
        <v>1</v>
      </c>
      <c r="E333" s="383"/>
      <c r="F333" s="268">
        <f>SUM(C333*D333)</f>
        <v>80000</v>
      </c>
      <c r="K333" s="155"/>
    </row>
    <row r="334" spans="1:11" ht="15" customHeight="1" x14ac:dyDescent="0.2">
      <c r="A334" s="114"/>
      <c r="B334" s="87" t="s">
        <v>669</v>
      </c>
      <c r="C334" s="383">
        <v>100000</v>
      </c>
      <c r="D334" s="383">
        <v>11</v>
      </c>
      <c r="E334" s="383"/>
      <c r="F334" s="268">
        <f>SUM(C334*D334)</f>
        <v>1100000</v>
      </c>
      <c r="K334" s="155"/>
    </row>
    <row r="335" spans="1:11" ht="15" customHeight="1" x14ac:dyDescent="0.2">
      <c r="A335" s="714" t="s">
        <v>8</v>
      </c>
      <c r="B335" s="900" t="s">
        <v>9</v>
      </c>
      <c r="C335" s="900"/>
      <c r="D335" s="900"/>
      <c r="E335" s="901"/>
      <c r="F335" s="270">
        <f>SUM(F320+F324+F326+F328+F329+F332+F321)</f>
        <v>6140000</v>
      </c>
      <c r="K335" s="155"/>
    </row>
    <row r="336" spans="1:11" ht="18" customHeight="1" x14ac:dyDescent="0.2">
      <c r="A336" s="898" t="s">
        <v>348</v>
      </c>
      <c r="B336" s="859" t="s">
        <v>159</v>
      </c>
      <c r="C336" s="859"/>
      <c r="D336" s="859"/>
      <c r="E336" s="859"/>
      <c r="F336" s="859"/>
    </row>
    <row r="337" spans="1:8" ht="18" customHeight="1" x14ac:dyDescent="0.2">
      <c r="A337" s="898"/>
      <c r="B337" s="211" t="s">
        <v>631</v>
      </c>
      <c r="C337" s="383">
        <f>SUM(F326)</f>
        <v>100000</v>
      </c>
      <c r="D337" s="238">
        <v>0.15</v>
      </c>
      <c r="E337" s="211"/>
      <c r="F337" s="198">
        <f>SUM(C337*D337)</f>
        <v>15000</v>
      </c>
    </row>
    <row r="338" spans="1:8" ht="18" customHeight="1" x14ac:dyDescent="0.2">
      <c r="A338" s="898"/>
      <c r="B338" s="87" t="s">
        <v>159</v>
      </c>
      <c r="C338" s="106">
        <f>F320+F324+F328+F329+F326+F327+F332+F325+F321</f>
        <v>6140000</v>
      </c>
      <c r="D338" s="238">
        <v>0.13</v>
      </c>
      <c r="F338" s="106">
        <f>C338*D338</f>
        <v>798200</v>
      </c>
    </row>
    <row r="339" spans="1:8" ht="18" customHeight="1" x14ac:dyDescent="0.2">
      <c r="A339" s="898"/>
      <c r="B339" s="858" t="s">
        <v>632</v>
      </c>
      <c r="C339" s="858"/>
      <c r="D339" s="858"/>
      <c r="E339" s="858"/>
      <c r="F339" s="199">
        <v>815000</v>
      </c>
      <c r="H339" s="657"/>
    </row>
    <row r="340" spans="1:8" ht="18" customHeight="1" x14ac:dyDescent="0.2">
      <c r="A340" s="114" t="s">
        <v>162</v>
      </c>
      <c r="B340" s="284" t="s">
        <v>163</v>
      </c>
      <c r="C340" s="285"/>
      <c r="D340" s="507">
        <v>0.05</v>
      </c>
      <c r="E340" s="285"/>
      <c r="F340" s="270">
        <v>30000</v>
      </c>
      <c r="G340" s="212"/>
      <c r="H340" s="712">
        <f>SUM(F340*D340)</f>
        <v>1500</v>
      </c>
    </row>
    <row r="341" spans="1:8" ht="18" customHeight="1" x14ac:dyDescent="0.2">
      <c r="A341" s="86" t="s">
        <v>170</v>
      </c>
      <c r="B341" s="284" t="s">
        <v>171</v>
      </c>
      <c r="C341" s="285"/>
      <c r="D341" s="507">
        <v>0.27</v>
      </c>
      <c r="E341" s="285"/>
      <c r="F341" s="270">
        <f>SUM(F342:F343)</f>
        <v>150000</v>
      </c>
      <c r="G341" s="212"/>
      <c r="H341" s="712">
        <f>SUM(F341*D341)</f>
        <v>40500</v>
      </c>
    </row>
    <row r="342" spans="1:8" ht="18" customHeight="1" x14ac:dyDescent="0.2">
      <c r="A342" s="86"/>
      <c r="B342" s="87" t="s">
        <v>554</v>
      </c>
      <c r="C342" s="106"/>
      <c r="D342" s="207"/>
      <c r="E342" s="106">
        <v>50000</v>
      </c>
      <c r="F342" s="268">
        <v>50000</v>
      </c>
      <c r="G342" s="212"/>
      <c r="H342" s="712"/>
    </row>
    <row r="343" spans="1:8" ht="18" customHeight="1" x14ac:dyDescent="0.2">
      <c r="A343" s="86"/>
      <c r="B343" s="87" t="s">
        <v>584</v>
      </c>
      <c r="C343" s="106"/>
      <c r="D343" s="207"/>
      <c r="E343" s="106"/>
      <c r="F343" s="268">
        <v>100000</v>
      </c>
      <c r="G343" s="212"/>
      <c r="H343" s="712"/>
    </row>
    <row r="344" spans="1:8" ht="18" customHeight="1" x14ac:dyDescent="0.2">
      <c r="A344" s="114" t="s">
        <v>426</v>
      </c>
      <c r="B344" s="284" t="s">
        <v>321</v>
      </c>
      <c r="C344" s="285"/>
      <c r="D344" s="507"/>
      <c r="E344" s="285"/>
      <c r="F344" s="270">
        <f>SUM(F345)</f>
        <v>42000</v>
      </c>
      <c r="G344" s="212"/>
      <c r="H344" s="712"/>
    </row>
    <row r="345" spans="1:8" ht="18" customHeight="1" x14ac:dyDescent="0.2">
      <c r="A345" s="114"/>
      <c r="B345" s="87" t="s">
        <v>634</v>
      </c>
      <c r="C345" s="106">
        <v>7000</v>
      </c>
      <c r="D345" s="207">
        <v>0.05</v>
      </c>
      <c r="E345" s="106">
        <v>6</v>
      </c>
      <c r="F345" s="268">
        <f>SUM(C345*E345)</f>
        <v>42000</v>
      </c>
      <c r="G345" s="212"/>
      <c r="H345" s="712">
        <f>SUM(F345*D345)</f>
        <v>2100</v>
      </c>
    </row>
    <row r="346" spans="1:8" ht="18" customHeight="1" x14ac:dyDescent="0.2">
      <c r="A346" s="86" t="s">
        <v>185</v>
      </c>
      <c r="B346" s="284" t="s">
        <v>186</v>
      </c>
      <c r="C346" s="285"/>
      <c r="D346" s="507">
        <v>0.27</v>
      </c>
      <c r="E346" s="285"/>
      <c r="F346" s="270">
        <f>SUM(F347)</f>
        <v>90000</v>
      </c>
      <c r="G346" s="212"/>
      <c r="H346" s="712"/>
    </row>
    <row r="347" spans="1:8" ht="18" customHeight="1" x14ac:dyDescent="0.2">
      <c r="A347" s="86"/>
      <c r="B347" s="87" t="s">
        <v>635</v>
      </c>
      <c r="C347" s="106">
        <v>15000</v>
      </c>
      <c r="D347" s="207">
        <v>0.27</v>
      </c>
      <c r="E347" s="106">
        <v>6</v>
      </c>
      <c r="F347" s="268">
        <f>SUM(C347*E347)</f>
        <v>90000</v>
      </c>
      <c r="G347" s="212"/>
      <c r="H347" s="712">
        <f>SUM(F347*D347)</f>
        <v>24300</v>
      </c>
    </row>
    <row r="348" spans="1:8" ht="18" customHeight="1" x14ac:dyDescent="0.2">
      <c r="A348" s="86" t="s">
        <v>199</v>
      </c>
      <c r="B348" s="284" t="s">
        <v>200</v>
      </c>
      <c r="C348" s="285"/>
      <c r="D348" s="507">
        <v>0.27</v>
      </c>
      <c r="E348" s="285"/>
      <c r="F348" s="270">
        <v>50000</v>
      </c>
      <c r="G348" s="212"/>
      <c r="H348" s="712">
        <f t="shared" ref="H348:H353" si="9">SUM(F348*D348)</f>
        <v>13500</v>
      </c>
    </row>
    <row r="349" spans="1:8" ht="16.5" customHeight="1" x14ac:dyDescent="0.2">
      <c r="A349" s="899" t="s">
        <v>201</v>
      </c>
      <c r="B349" s="284" t="s">
        <v>202</v>
      </c>
      <c r="C349" s="285"/>
      <c r="D349" s="507"/>
      <c r="E349" s="285"/>
      <c r="F349" s="270">
        <f>SUM(F350:F351)</f>
        <v>110000</v>
      </c>
      <c r="G349" s="212"/>
      <c r="H349" s="712">
        <f t="shared" si="9"/>
        <v>0</v>
      </c>
    </row>
    <row r="350" spans="1:8" ht="16.5" customHeight="1" x14ac:dyDescent="0.2">
      <c r="A350" s="899"/>
      <c r="B350" s="211" t="s">
        <v>637</v>
      </c>
      <c r="C350" s="211"/>
      <c r="D350" s="708" t="s">
        <v>562</v>
      </c>
      <c r="E350" s="211"/>
      <c r="F350" s="198">
        <v>100000</v>
      </c>
      <c r="G350" s="212"/>
      <c r="H350" s="712"/>
    </row>
    <row r="351" spans="1:8" ht="15" customHeight="1" x14ac:dyDescent="0.2">
      <c r="A351" s="899"/>
      <c r="B351" s="87" t="s">
        <v>636</v>
      </c>
      <c r="C351" s="106"/>
      <c r="D351" s="207" t="s">
        <v>562</v>
      </c>
      <c r="E351" s="106"/>
      <c r="F351" s="198">
        <v>10000</v>
      </c>
      <c r="G351" s="212"/>
      <c r="H351" s="712"/>
    </row>
    <row r="352" spans="1:8" ht="17.25" customHeight="1" x14ac:dyDescent="0.2">
      <c r="A352" s="239" t="s">
        <v>205</v>
      </c>
      <c r="B352" s="284" t="s">
        <v>206</v>
      </c>
      <c r="C352" s="285"/>
      <c r="D352" s="507">
        <v>0.27</v>
      </c>
      <c r="E352" s="285"/>
      <c r="F352" s="270">
        <v>20000</v>
      </c>
      <c r="G352" s="212"/>
      <c r="H352" s="712">
        <f t="shared" si="9"/>
        <v>5400</v>
      </c>
    </row>
    <row r="353" spans="1:8" ht="18" customHeight="1" x14ac:dyDescent="0.2">
      <c r="A353" s="114" t="s">
        <v>292</v>
      </c>
      <c r="B353" s="284" t="s">
        <v>293</v>
      </c>
      <c r="C353" s="285"/>
      <c r="D353" s="507"/>
      <c r="E353" s="285"/>
      <c r="F353" s="270">
        <v>50000</v>
      </c>
      <c r="G353" s="212"/>
      <c r="H353" s="712">
        <f t="shared" si="9"/>
        <v>0</v>
      </c>
    </row>
    <row r="354" spans="1:8" ht="21.75" customHeight="1" x14ac:dyDescent="0.2">
      <c r="A354" s="200" t="s">
        <v>213</v>
      </c>
      <c r="B354" s="284" t="s">
        <v>271</v>
      </c>
      <c r="C354" s="285"/>
      <c r="D354" s="507"/>
      <c r="E354" s="285"/>
      <c r="F354" s="270">
        <v>87300</v>
      </c>
      <c r="G354" s="221"/>
      <c r="H354" s="713">
        <f>SUM(H340:H353)</f>
        <v>87300</v>
      </c>
    </row>
    <row r="355" spans="1:8" ht="19.5" customHeight="1" x14ac:dyDescent="0.2">
      <c r="A355" s="114" t="s">
        <v>245</v>
      </c>
      <c r="B355" s="87" t="s">
        <v>246</v>
      </c>
      <c r="C355" s="106"/>
      <c r="D355" s="207"/>
      <c r="E355" s="106"/>
      <c r="F355" s="268"/>
      <c r="G355" s="221"/>
      <c r="H355" s="711"/>
    </row>
    <row r="356" spans="1:8" ht="18" customHeight="1" x14ac:dyDescent="0.2">
      <c r="A356" s="239" t="s">
        <v>247</v>
      </c>
      <c r="B356" s="878" t="s">
        <v>351</v>
      </c>
      <c r="C356" s="878"/>
      <c r="D356" s="878"/>
      <c r="E356" s="878"/>
      <c r="F356" s="199"/>
      <c r="H356" s="657"/>
    </row>
    <row r="357" spans="1:8" ht="18" customHeight="1" x14ac:dyDescent="0.2">
      <c r="A357" s="239"/>
      <c r="B357" s="159"/>
      <c r="C357" s="159"/>
      <c r="D357" s="216"/>
      <c r="E357" s="159"/>
      <c r="F357" s="190"/>
      <c r="H357" s="657"/>
    </row>
    <row r="358" spans="1:8" ht="21.75" customHeight="1" x14ac:dyDescent="0.2">
      <c r="A358" s="239" t="s">
        <v>249</v>
      </c>
      <c r="B358" s="92" t="s">
        <v>276</v>
      </c>
      <c r="C358" s="95"/>
      <c r="D358" s="216">
        <v>0.27</v>
      </c>
      <c r="E358" s="95"/>
      <c r="F358" s="338"/>
      <c r="H358" s="657"/>
    </row>
    <row r="359" spans="1:8" ht="21.75" customHeight="1" x14ac:dyDescent="0.2">
      <c r="A359" s="154" t="s">
        <v>251</v>
      </c>
      <c r="B359" s="895" t="s">
        <v>502</v>
      </c>
      <c r="C359" s="895"/>
      <c r="D359" s="895"/>
      <c r="E359" s="895"/>
      <c r="F359" s="338">
        <v>0</v>
      </c>
      <c r="H359" s="657"/>
    </row>
    <row r="360" spans="1:8" ht="21.75" customHeight="1" thickBot="1" x14ac:dyDescent="0.25">
      <c r="A360" s="436" t="s">
        <v>255</v>
      </c>
      <c r="B360" s="105" t="s">
        <v>277</v>
      </c>
      <c r="C360" s="330"/>
      <c r="D360" s="482">
        <v>0.27</v>
      </c>
      <c r="E360" s="330"/>
      <c r="F360" s="483">
        <v>0</v>
      </c>
      <c r="H360" s="657"/>
    </row>
    <row r="361" spans="1:8" ht="21.75" customHeight="1" thickBot="1" x14ac:dyDescent="0.25">
      <c r="A361" s="845" t="s">
        <v>279</v>
      </c>
      <c r="B361" s="845"/>
      <c r="C361" s="845"/>
      <c r="D361" s="845"/>
      <c r="E361" s="845"/>
      <c r="F361" s="220">
        <f>SUM(F335+F339+F340+F341+F344+F346+F348+F352+F353+F354+F349+F356+F358+F359+F360)</f>
        <v>7584300</v>
      </c>
      <c r="G361" s="212">
        <f>SUM(F361-'Kiadások COFOG szerint'!F214)</f>
        <v>0</v>
      </c>
      <c r="H361" s="657"/>
    </row>
    <row r="362" spans="1:8" ht="21.75" customHeight="1" thickBot="1" x14ac:dyDescent="0.25">
      <c r="A362" s="868" t="s">
        <v>429</v>
      </c>
      <c r="B362" s="868"/>
      <c r="C362" s="868"/>
      <c r="D362" s="868"/>
      <c r="E362" s="868"/>
      <c r="F362" s="868"/>
      <c r="H362" s="657"/>
    </row>
    <row r="363" spans="1:8" ht="21.75" customHeight="1" thickBot="1" x14ac:dyDescent="0.25">
      <c r="A363" s="849" t="s">
        <v>46</v>
      </c>
      <c r="B363" s="850" t="s">
        <v>47</v>
      </c>
      <c r="C363" s="851">
        <v>2023</v>
      </c>
      <c r="D363" s="851"/>
      <c r="E363" s="851"/>
      <c r="F363" s="851"/>
    </row>
    <row r="364" spans="1:8" ht="21.75" customHeight="1" thickBot="1" x14ac:dyDescent="0.25">
      <c r="A364" s="849"/>
      <c r="B364" s="850"/>
      <c r="C364" s="894"/>
      <c r="D364" s="894"/>
      <c r="E364" s="894"/>
      <c r="F364" s="718" t="s">
        <v>510</v>
      </c>
    </row>
    <row r="365" spans="1:8" ht="21.75" customHeight="1" x14ac:dyDescent="0.2">
      <c r="A365" s="938" t="s">
        <v>201</v>
      </c>
      <c r="B365" s="363" t="s">
        <v>202</v>
      </c>
      <c r="C365" s="391" t="s">
        <v>430</v>
      </c>
      <c r="D365" s="762">
        <v>8000</v>
      </c>
      <c r="E365" s="391">
        <v>3</v>
      </c>
      <c r="F365" s="364">
        <f>SUM(D365*E365)</f>
        <v>24000</v>
      </c>
    </row>
    <row r="366" spans="1:8" ht="21.75" customHeight="1" thickBot="1" x14ac:dyDescent="0.25">
      <c r="A366" s="939"/>
      <c r="B366" s="151" t="s">
        <v>202</v>
      </c>
      <c r="C366" s="152" t="s">
        <v>430</v>
      </c>
      <c r="D366" s="259">
        <v>8700</v>
      </c>
      <c r="E366" s="330">
        <v>12</v>
      </c>
      <c r="F366" s="763">
        <f>SUM(D366*E366)</f>
        <v>104400</v>
      </c>
    </row>
    <row r="367" spans="1:8" ht="21.75" customHeight="1" thickBot="1" x14ac:dyDescent="0.25">
      <c r="A367" s="845" t="s">
        <v>279</v>
      </c>
      <c r="B367" s="845"/>
      <c r="C367" s="845"/>
      <c r="D367" s="845"/>
      <c r="E367" s="845"/>
      <c r="F367" s="220">
        <f>SUM(F365:F366)</f>
        <v>128400</v>
      </c>
      <c r="G367" s="212"/>
    </row>
    <row r="368" spans="1:8" ht="23.25" customHeight="1" thickBot="1" x14ac:dyDescent="0.25">
      <c r="A368" s="868" t="s">
        <v>432</v>
      </c>
      <c r="B368" s="868"/>
      <c r="C368" s="868"/>
      <c r="D368" s="868"/>
      <c r="E368" s="868"/>
      <c r="F368" s="868"/>
    </row>
    <row r="369" spans="1:10" ht="18" customHeight="1" thickBot="1" x14ac:dyDescent="0.25">
      <c r="A369" s="849" t="s">
        <v>46</v>
      </c>
      <c r="B369" s="850" t="s">
        <v>47</v>
      </c>
      <c r="C369" s="851">
        <v>2023</v>
      </c>
      <c r="D369" s="851"/>
      <c r="E369" s="851"/>
      <c r="F369" s="851"/>
    </row>
    <row r="370" spans="1:10" ht="25.5" customHeight="1" thickBot="1" x14ac:dyDescent="0.25">
      <c r="A370" s="849"/>
      <c r="B370" s="850"/>
      <c r="C370" s="852"/>
      <c r="D370" s="852"/>
      <c r="E370" s="852"/>
      <c r="F370" s="194" t="s">
        <v>510</v>
      </c>
    </row>
    <row r="371" spans="1:10" ht="21" x14ac:dyDescent="0.2">
      <c r="A371" s="365" t="s">
        <v>154</v>
      </c>
      <c r="B371" s="659" t="s">
        <v>155</v>
      </c>
      <c r="C371" s="391"/>
      <c r="D371" s="660"/>
      <c r="E371" s="391"/>
      <c r="F371" s="364"/>
    </row>
    <row r="372" spans="1:10" ht="15" customHeight="1" x14ac:dyDescent="0.2">
      <c r="A372" s="327" t="s">
        <v>154</v>
      </c>
      <c r="B372" s="87" t="s">
        <v>433</v>
      </c>
      <c r="C372" s="106">
        <f>SUM(F371)</f>
        <v>0</v>
      </c>
      <c r="D372" s="202">
        <v>0.13</v>
      </c>
      <c r="E372" s="106">
        <f>SUM(C372*D372)</f>
        <v>0</v>
      </c>
      <c r="F372" s="268"/>
    </row>
    <row r="373" spans="1:10" ht="15" customHeight="1" x14ac:dyDescent="0.2">
      <c r="A373" s="327" t="s">
        <v>170</v>
      </c>
      <c r="B373" s="87" t="s">
        <v>171</v>
      </c>
      <c r="C373" s="106"/>
      <c r="D373" s="207">
        <v>0.27</v>
      </c>
      <c r="E373" s="106"/>
      <c r="F373" s="268"/>
    </row>
    <row r="374" spans="1:10" ht="15" customHeight="1" x14ac:dyDescent="0.2">
      <c r="A374" s="327" t="s">
        <v>205</v>
      </c>
      <c r="B374" s="87" t="s">
        <v>409</v>
      </c>
      <c r="C374" s="106"/>
      <c r="D374" s="207">
        <v>0.27</v>
      </c>
      <c r="E374" s="106"/>
      <c r="F374" s="268"/>
    </row>
    <row r="375" spans="1:10" ht="24" customHeight="1" x14ac:dyDescent="0.2">
      <c r="A375" s="114" t="s">
        <v>213</v>
      </c>
      <c r="B375" s="87" t="s">
        <v>271</v>
      </c>
      <c r="C375" s="106">
        <f>F373+F374</f>
        <v>0</v>
      </c>
      <c r="D375" s="207">
        <v>0.27</v>
      </c>
      <c r="E375" s="197">
        <f>SUM(C375*D375)</f>
        <v>0</v>
      </c>
      <c r="F375" s="268"/>
      <c r="G375" s="212" t="s">
        <v>517</v>
      </c>
    </row>
    <row r="376" spans="1:10" ht="18" customHeight="1" x14ac:dyDescent="0.2">
      <c r="A376" s="114" t="s">
        <v>247</v>
      </c>
      <c r="B376" s="87" t="s">
        <v>482</v>
      </c>
      <c r="C376" s="106"/>
      <c r="D376" s="207">
        <v>0.27</v>
      </c>
      <c r="E376" s="197"/>
      <c r="F376" s="268"/>
      <c r="G376" s="212"/>
    </row>
    <row r="377" spans="1:10" ht="18" customHeight="1" x14ac:dyDescent="0.2">
      <c r="A377" s="91"/>
      <c r="B377" s="92" t="s">
        <v>611</v>
      </c>
      <c r="C377" s="95"/>
      <c r="D377" s="207">
        <v>0.27</v>
      </c>
      <c r="E377" s="227"/>
      <c r="F377" s="190"/>
      <c r="G377" s="212"/>
    </row>
    <row r="378" spans="1:10" ht="21.75" customHeight="1" thickBot="1" x14ac:dyDescent="0.25">
      <c r="A378" s="91" t="s">
        <v>249</v>
      </c>
      <c r="B378" s="92" t="s">
        <v>276</v>
      </c>
      <c r="C378" s="95">
        <f>F376</f>
        <v>0</v>
      </c>
      <c r="D378" s="207">
        <v>0.27</v>
      </c>
      <c r="E378" s="227">
        <f>C378*D378</f>
        <v>0</v>
      </c>
      <c r="F378" s="338"/>
      <c r="G378" s="212"/>
    </row>
    <row r="379" spans="1:10" ht="21.75" customHeight="1" thickBot="1" x14ac:dyDescent="0.25">
      <c r="A379" s="845" t="s">
        <v>279</v>
      </c>
      <c r="B379" s="845"/>
      <c r="C379" s="845"/>
      <c r="D379" s="845"/>
      <c r="E379" s="845"/>
      <c r="F379" s="220">
        <f>SUM(F371,F372,F373,F374,F375,F376,F378)</f>
        <v>0</v>
      </c>
      <c r="G379" s="212">
        <f>SUM(F379-'Kiadások COFOG szerint'!F237)</f>
        <v>0</v>
      </c>
    </row>
    <row r="380" spans="1:10" ht="24" customHeight="1" thickBot="1" x14ac:dyDescent="0.25">
      <c r="A380" s="853" t="s">
        <v>295</v>
      </c>
      <c r="B380" s="853"/>
      <c r="C380" s="853"/>
      <c r="D380" s="853"/>
      <c r="E380" s="853"/>
      <c r="F380" s="853"/>
    </row>
    <row r="381" spans="1:10" ht="21" customHeight="1" thickBot="1" x14ac:dyDescent="0.25">
      <c r="A381" s="863" t="s">
        <v>46</v>
      </c>
      <c r="B381" s="864" t="s">
        <v>47</v>
      </c>
      <c r="C381" s="851">
        <v>2023</v>
      </c>
      <c r="D381" s="851"/>
      <c r="E381" s="851"/>
      <c r="F381" s="851"/>
    </row>
    <row r="382" spans="1:10" ht="24" customHeight="1" thickBot="1" x14ac:dyDescent="0.25">
      <c r="A382" s="863"/>
      <c r="B382" s="864"/>
      <c r="C382" s="852"/>
      <c r="D382" s="852"/>
      <c r="E382" s="852"/>
      <c r="F382" s="194" t="s">
        <v>510</v>
      </c>
    </row>
    <row r="383" spans="1:10" ht="22.5" customHeight="1" thickBot="1" x14ac:dyDescent="0.25">
      <c r="A383" s="896" t="s">
        <v>239</v>
      </c>
      <c r="B383" s="151" t="s">
        <v>296</v>
      </c>
      <c r="C383" s="887" t="s">
        <v>435</v>
      </c>
      <c r="D383" s="887"/>
      <c r="E383" s="887"/>
      <c r="F383" s="222">
        <v>100000</v>
      </c>
      <c r="G383" s="212"/>
      <c r="J383" s="174"/>
    </row>
    <row r="384" spans="1:10" ht="22.5" customHeight="1" thickBot="1" x14ac:dyDescent="0.25">
      <c r="A384" s="896"/>
      <c r="B384" s="888"/>
      <c r="C384" s="883" t="s">
        <v>472</v>
      </c>
      <c r="D384" s="883"/>
      <c r="E384" s="883"/>
      <c r="F384" s="190">
        <v>250000</v>
      </c>
      <c r="G384" s="212"/>
      <c r="J384" s="174"/>
    </row>
    <row r="385" spans="1:11" ht="22.5" customHeight="1" thickBot="1" x14ac:dyDescent="0.25">
      <c r="A385" s="896"/>
      <c r="B385" s="889"/>
      <c r="C385" s="883" t="s">
        <v>436</v>
      </c>
      <c r="D385" s="883"/>
      <c r="E385" s="883"/>
      <c r="F385" s="190">
        <v>50000</v>
      </c>
      <c r="G385" s="212"/>
      <c r="J385" s="123"/>
      <c r="K385" s="213"/>
    </row>
    <row r="386" spans="1:11" ht="22.5" customHeight="1" thickBot="1" x14ac:dyDescent="0.25">
      <c r="A386" s="896"/>
      <c r="B386" s="889"/>
      <c r="C386" s="883" t="s">
        <v>437</v>
      </c>
      <c r="D386" s="883"/>
      <c r="E386" s="883"/>
      <c r="F386" s="190">
        <v>2800000</v>
      </c>
      <c r="G386" s="212"/>
      <c r="J386" s="123"/>
      <c r="K386" s="213"/>
    </row>
    <row r="387" spans="1:11" ht="22.5" customHeight="1" thickBot="1" x14ac:dyDescent="0.25">
      <c r="A387" s="896"/>
      <c r="B387" s="889"/>
      <c r="C387" s="891" t="s">
        <v>541</v>
      </c>
      <c r="D387" s="892"/>
      <c r="E387" s="893"/>
      <c r="F387" s="190">
        <v>250000</v>
      </c>
      <c r="G387" s="212"/>
      <c r="J387" s="123"/>
      <c r="K387" s="213"/>
    </row>
    <row r="388" spans="1:11" ht="22.5" customHeight="1" thickBot="1" x14ac:dyDescent="0.25">
      <c r="A388" s="896"/>
      <c r="B388" s="889"/>
      <c r="C388" s="883" t="s">
        <v>438</v>
      </c>
      <c r="D388" s="883"/>
      <c r="E388" s="883"/>
      <c r="F388" s="190">
        <v>50000</v>
      </c>
      <c r="G388" s="212"/>
      <c r="J388" s="123"/>
      <c r="K388" s="213"/>
    </row>
    <row r="389" spans="1:11" ht="22.5" customHeight="1" thickBot="1" x14ac:dyDescent="0.25">
      <c r="A389" s="896"/>
      <c r="B389" s="889"/>
      <c r="C389" s="883" t="s">
        <v>439</v>
      </c>
      <c r="D389" s="883"/>
      <c r="E389" s="883"/>
      <c r="F389" s="190">
        <v>400000</v>
      </c>
      <c r="G389" s="212"/>
      <c r="J389" s="123"/>
      <c r="K389" s="213"/>
    </row>
    <row r="390" spans="1:11" ht="22.5" customHeight="1" thickBot="1" x14ac:dyDescent="0.25">
      <c r="A390" s="896"/>
      <c r="B390" s="889"/>
      <c r="C390" s="883" t="s">
        <v>440</v>
      </c>
      <c r="D390" s="883"/>
      <c r="E390" s="883"/>
      <c r="F390" s="190">
        <v>400000</v>
      </c>
      <c r="G390" s="212"/>
      <c r="J390" s="123"/>
      <c r="K390" s="213"/>
    </row>
    <row r="391" spans="1:11" ht="22.5" customHeight="1" thickBot="1" x14ac:dyDescent="0.25">
      <c r="A391" s="896"/>
      <c r="B391" s="889"/>
      <c r="C391" s="883" t="s">
        <v>441</v>
      </c>
      <c r="D391" s="883"/>
      <c r="E391" s="883"/>
      <c r="F391" s="190">
        <v>200000</v>
      </c>
      <c r="G391" s="212"/>
      <c r="J391" s="123"/>
      <c r="K391" s="213"/>
    </row>
    <row r="392" spans="1:11" ht="22.5" customHeight="1" thickBot="1" x14ac:dyDescent="0.25">
      <c r="A392" s="896"/>
      <c r="B392" s="889"/>
      <c r="C392" s="883" t="s">
        <v>442</v>
      </c>
      <c r="D392" s="883"/>
      <c r="E392" s="883"/>
      <c r="F392" s="190">
        <v>400000</v>
      </c>
      <c r="G392" s="212"/>
      <c r="J392" s="123"/>
      <c r="K392" s="213"/>
    </row>
    <row r="393" spans="1:11" ht="22.5" customHeight="1" thickBot="1" x14ac:dyDescent="0.25">
      <c r="A393" s="896"/>
      <c r="B393" s="889"/>
      <c r="C393" s="883" t="s">
        <v>542</v>
      </c>
      <c r="D393" s="883"/>
      <c r="E393" s="883"/>
      <c r="F393" s="190">
        <v>200000</v>
      </c>
      <c r="G393" s="212"/>
      <c r="J393" s="123"/>
      <c r="K393" s="213"/>
    </row>
    <row r="394" spans="1:11" ht="22.5" customHeight="1" thickBot="1" x14ac:dyDescent="0.25">
      <c r="A394" s="896"/>
      <c r="B394" s="889"/>
      <c r="C394" s="884" t="s">
        <v>449</v>
      </c>
      <c r="D394" s="884"/>
      <c r="E394" s="884"/>
      <c r="F394" s="562">
        <v>469700</v>
      </c>
      <c r="G394" s="212"/>
      <c r="J394" s="123"/>
      <c r="K394" s="213"/>
    </row>
    <row r="395" spans="1:11" ht="22.5" customHeight="1" thickBot="1" x14ac:dyDescent="0.25">
      <c r="A395" s="896"/>
      <c r="B395" s="889"/>
      <c r="C395" s="883" t="s">
        <v>443</v>
      </c>
      <c r="D395" s="883"/>
      <c r="E395" s="883"/>
      <c r="F395" s="190">
        <v>100000</v>
      </c>
      <c r="G395" s="212"/>
      <c r="J395" s="123"/>
      <c r="K395" s="213"/>
    </row>
    <row r="396" spans="1:11" ht="22.5" customHeight="1" thickBot="1" x14ac:dyDescent="0.25">
      <c r="A396" s="896"/>
      <c r="B396" s="889"/>
      <c r="C396" s="883" t="s">
        <v>444</v>
      </c>
      <c r="D396" s="883"/>
      <c r="E396" s="883"/>
      <c r="F396" s="190">
        <v>0</v>
      </c>
      <c r="G396" s="212"/>
      <c r="J396" s="123"/>
      <c r="K396" s="213"/>
    </row>
    <row r="397" spans="1:11" ht="21" customHeight="1" thickBot="1" x14ac:dyDescent="0.25">
      <c r="A397" s="896"/>
      <c r="B397" s="889"/>
      <c r="C397" s="883" t="s">
        <v>445</v>
      </c>
      <c r="D397" s="883"/>
      <c r="E397" s="883"/>
      <c r="F397" s="190">
        <v>0</v>
      </c>
      <c r="G397" s="212"/>
      <c r="J397" s="123"/>
      <c r="K397" s="213"/>
    </row>
    <row r="398" spans="1:11" ht="21.75" customHeight="1" thickBot="1" x14ac:dyDescent="0.25">
      <c r="A398" s="896"/>
      <c r="B398" s="889"/>
      <c r="C398" s="883" t="s">
        <v>446</v>
      </c>
      <c r="D398" s="883"/>
      <c r="E398" s="883"/>
      <c r="F398" s="190">
        <v>150000</v>
      </c>
      <c r="G398" s="212"/>
      <c r="J398" s="123"/>
      <c r="K398" s="213"/>
    </row>
    <row r="399" spans="1:11" ht="21.75" customHeight="1" thickBot="1" x14ac:dyDescent="0.25">
      <c r="A399" s="896"/>
      <c r="B399" s="889"/>
      <c r="C399" s="883" t="s">
        <v>450</v>
      </c>
      <c r="D399" s="883"/>
      <c r="E399" s="883"/>
      <c r="F399" s="190">
        <v>70000</v>
      </c>
      <c r="G399" s="212"/>
      <c r="J399" s="131"/>
    </row>
    <row r="400" spans="1:11" ht="21.75" customHeight="1" thickBot="1" x14ac:dyDescent="0.25">
      <c r="A400" s="896"/>
      <c r="B400" s="889"/>
      <c r="C400" s="883" t="s">
        <v>447</v>
      </c>
      <c r="D400" s="883"/>
      <c r="E400" s="883"/>
      <c r="F400" s="190">
        <v>300000</v>
      </c>
      <c r="G400" s="212"/>
      <c r="J400" s="174"/>
    </row>
    <row r="401" spans="1:16" ht="21.75" customHeight="1" thickBot="1" x14ac:dyDescent="0.25">
      <c r="A401" s="897"/>
      <c r="B401" s="889"/>
      <c r="C401" s="890" t="s">
        <v>448</v>
      </c>
      <c r="D401" s="890"/>
      <c r="E401" s="890"/>
      <c r="F401" s="190">
        <v>100000</v>
      </c>
      <c r="G401" s="212"/>
      <c r="J401" s="174"/>
    </row>
    <row r="402" spans="1:16" ht="24" customHeight="1" thickBot="1" x14ac:dyDescent="0.25">
      <c r="A402" s="845" t="s">
        <v>279</v>
      </c>
      <c r="B402" s="845"/>
      <c r="C402" s="845"/>
      <c r="D402" s="845"/>
      <c r="E402" s="861"/>
      <c r="F402" s="220">
        <f>SUM(F383:F401)</f>
        <v>6289700</v>
      </c>
      <c r="G402" s="212">
        <f>SUM(F402-'Kiadások COFOG szerint'!F242)</f>
        <v>0</v>
      </c>
    </row>
    <row r="403" spans="1:16" ht="24.75" customHeight="1" thickBot="1" x14ac:dyDescent="0.25">
      <c r="A403" s="853" t="s">
        <v>137</v>
      </c>
      <c r="B403" s="853"/>
      <c r="C403" s="853"/>
      <c r="D403" s="853"/>
      <c r="E403" s="853"/>
      <c r="F403" s="853"/>
    </row>
    <row r="404" spans="1:16" ht="21.75" customHeight="1" thickBot="1" x14ac:dyDescent="0.25">
      <c r="A404" s="849" t="s">
        <v>46</v>
      </c>
      <c r="B404" s="850" t="s">
        <v>47</v>
      </c>
      <c r="C404" s="851">
        <v>2023</v>
      </c>
      <c r="D404" s="851"/>
      <c r="E404" s="851"/>
      <c r="F404" s="851"/>
      <c r="M404" s="39"/>
      <c r="N404" s="39"/>
      <c r="O404" s="39"/>
      <c r="P404" s="39"/>
    </row>
    <row r="405" spans="1:16" ht="24.75" customHeight="1" thickBot="1" x14ac:dyDescent="0.25">
      <c r="A405" s="849"/>
      <c r="B405" s="850"/>
      <c r="C405" s="852"/>
      <c r="D405" s="852"/>
      <c r="E405" s="852"/>
      <c r="F405" s="194" t="s">
        <v>510</v>
      </c>
      <c r="O405" s="179"/>
    </row>
    <row r="406" spans="1:16" ht="12.75" customHeight="1" x14ac:dyDescent="0.2">
      <c r="A406" s="223" t="s">
        <v>142</v>
      </c>
      <c r="B406" s="877" t="s">
        <v>143</v>
      </c>
      <c r="C406" s="877"/>
      <c r="D406" s="877"/>
      <c r="E406" s="877"/>
      <c r="F406" s="877"/>
      <c r="O406" s="180"/>
    </row>
    <row r="407" spans="1:16" ht="21.75" customHeight="1" x14ac:dyDescent="0.2">
      <c r="A407" s="200"/>
      <c r="B407" s="204" t="s">
        <v>705</v>
      </c>
      <c r="C407" s="106">
        <v>288000</v>
      </c>
      <c r="D407" s="197">
        <v>1</v>
      </c>
      <c r="E407" s="197" t="s">
        <v>309</v>
      </c>
      <c r="F407" s="198">
        <f t="shared" ref="F407:F408" si="10">SUM(C407*D407)</f>
        <v>288000</v>
      </c>
      <c r="J407" s="111"/>
      <c r="O407" s="180"/>
    </row>
    <row r="408" spans="1:16" ht="21" customHeight="1" x14ac:dyDescent="0.2">
      <c r="A408" s="200"/>
      <c r="B408" s="87" t="s">
        <v>706</v>
      </c>
      <c r="C408" s="106">
        <v>324400</v>
      </c>
      <c r="D408" s="197">
        <v>11</v>
      </c>
      <c r="E408" s="197" t="s">
        <v>309</v>
      </c>
      <c r="F408" s="198">
        <f t="shared" si="10"/>
        <v>3568400</v>
      </c>
      <c r="G408" s="460"/>
      <c r="O408" s="180"/>
    </row>
    <row r="409" spans="1:16" ht="21" customHeight="1" x14ac:dyDescent="0.2">
      <c r="A409" s="200"/>
      <c r="B409" s="647" t="s">
        <v>599</v>
      </c>
      <c r="C409" s="749">
        <v>230000</v>
      </c>
      <c r="D409" s="750">
        <v>1</v>
      </c>
      <c r="E409" s="352" t="s">
        <v>309</v>
      </c>
      <c r="F409" s="198">
        <f>SUM(C409*D409)</f>
        <v>230000</v>
      </c>
      <c r="G409" s="658">
        <f>SUM(F407:F410)</f>
        <v>6836400</v>
      </c>
      <c r="O409" s="180"/>
    </row>
    <row r="410" spans="1:16" ht="21" customHeight="1" x14ac:dyDescent="0.2">
      <c r="A410" s="200"/>
      <c r="B410" s="647" t="s">
        <v>599</v>
      </c>
      <c r="C410" s="749">
        <v>250000</v>
      </c>
      <c r="D410" s="750">
        <v>11</v>
      </c>
      <c r="E410" s="352" t="s">
        <v>309</v>
      </c>
      <c r="F410" s="198">
        <f>SUM(C410*D410)</f>
        <v>2750000</v>
      </c>
      <c r="G410" s="658"/>
      <c r="O410" s="180"/>
    </row>
    <row r="411" spans="1:16" ht="18" customHeight="1" x14ac:dyDescent="0.2">
      <c r="A411" s="150"/>
      <c r="B411" s="878" t="s">
        <v>350</v>
      </c>
      <c r="C411" s="878"/>
      <c r="D411" s="878"/>
      <c r="E411" s="878"/>
      <c r="F411" s="558">
        <v>6900000</v>
      </c>
      <c r="O411" s="180"/>
    </row>
    <row r="412" spans="1:16" ht="15.75" customHeight="1" x14ac:dyDescent="0.2">
      <c r="A412" s="327" t="s">
        <v>424</v>
      </c>
      <c r="B412" s="878" t="s">
        <v>425</v>
      </c>
      <c r="C412" s="878"/>
      <c r="D412" s="878"/>
      <c r="E412" s="878" t="s">
        <v>309</v>
      </c>
      <c r="F412" s="558">
        <f>SUM(F413:F414)</f>
        <v>150000</v>
      </c>
      <c r="O412" s="180"/>
    </row>
    <row r="413" spans="1:16" x14ac:dyDescent="0.2">
      <c r="A413" s="91"/>
      <c r="B413" s="764" t="s">
        <v>708</v>
      </c>
      <c r="C413" s="751"/>
      <c r="D413" s="361"/>
      <c r="E413" s="361"/>
      <c r="F413" s="198">
        <v>100000</v>
      </c>
      <c r="G413" s="344"/>
      <c r="H413" s="518"/>
      <c r="I413" s="529"/>
      <c r="J413" s="345"/>
      <c r="K413" s="465"/>
    </row>
    <row r="414" spans="1:16" x14ac:dyDescent="0.2">
      <c r="A414" s="91"/>
      <c r="B414" s="764" t="s">
        <v>599</v>
      </c>
      <c r="C414" s="751"/>
      <c r="D414" s="361"/>
      <c r="E414" s="361"/>
      <c r="F414" s="198">
        <v>50000</v>
      </c>
      <c r="G414" s="344"/>
      <c r="H414" s="518"/>
      <c r="I414" s="529"/>
      <c r="J414" s="345"/>
      <c r="K414" s="465"/>
    </row>
    <row r="415" spans="1:16" ht="24.75" customHeight="1" x14ac:dyDescent="0.2">
      <c r="A415" s="114" t="s">
        <v>148</v>
      </c>
      <c r="B415" s="360" t="s">
        <v>343</v>
      </c>
      <c r="C415" s="196">
        <v>0</v>
      </c>
      <c r="D415" s="361">
        <v>0</v>
      </c>
      <c r="E415" s="361" t="s">
        <v>309</v>
      </c>
      <c r="F415" s="198"/>
      <c r="G415" s="344" t="s">
        <v>516</v>
      </c>
      <c r="H415" s="518"/>
      <c r="I415" s="529"/>
      <c r="J415" s="345"/>
      <c r="K415" s="465">
        <v>14791317</v>
      </c>
    </row>
    <row r="416" spans="1:16" x14ac:dyDescent="0.2">
      <c r="A416" s="114" t="s">
        <v>150</v>
      </c>
      <c r="B416" s="878" t="s">
        <v>151</v>
      </c>
      <c r="C416" s="878"/>
      <c r="D416" s="878"/>
      <c r="E416" s="878"/>
      <c r="F416" s="558">
        <f>SUM(F417:F420)</f>
        <v>160000</v>
      </c>
      <c r="G416" s="344"/>
      <c r="H416" s="518"/>
      <c r="I416" s="529"/>
      <c r="J416" s="345"/>
      <c r="K416" s="465"/>
    </row>
    <row r="417" spans="1:15" x14ac:dyDescent="0.2">
      <c r="A417" s="91"/>
      <c r="B417" s="764" t="s">
        <v>700</v>
      </c>
      <c r="C417" s="751">
        <v>4000</v>
      </c>
      <c r="D417" s="361">
        <v>1</v>
      </c>
      <c r="E417" s="361"/>
      <c r="F417" s="198">
        <f>SUM(C417*D417)</f>
        <v>4000</v>
      </c>
      <c r="G417" s="344"/>
      <c r="H417" s="518"/>
      <c r="I417" s="529"/>
      <c r="J417" s="345"/>
      <c r="K417" s="465"/>
    </row>
    <row r="418" spans="1:15" x14ac:dyDescent="0.2">
      <c r="A418" s="91"/>
      <c r="B418" s="764" t="s">
        <v>701</v>
      </c>
      <c r="C418" s="751">
        <v>5000</v>
      </c>
      <c r="D418" s="361">
        <v>11</v>
      </c>
      <c r="E418" s="361"/>
      <c r="F418" s="198">
        <f>SUM(C418*D418)</f>
        <v>55000</v>
      </c>
      <c r="G418" s="344"/>
      <c r="H418" s="518"/>
      <c r="I418" s="529"/>
      <c r="J418" s="345"/>
      <c r="K418" s="465"/>
    </row>
    <row r="419" spans="1:15" x14ac:dyDescent="0.2">
      <c r="A419" s="91"/>
      <c r="B419" s="764" t="s">
        <v>707</v>
      </c>
      <c r="C419" s="751"/>
      <c r="D419" s="361"/>
      <c r="E419" s="361"/>
      <c r="F419" s="198">
        <v>12000</v>
      </c>
      <c r="G419" s="344"/>
      <c r="H419" s="518"/>
      <c r="I419" s="529"/>
      <c r="J419" s="345"/>
      <c r="K419" s="465"/>
    </row>
    <row r="420" spans="1:15" x14ac:dyDescent="0.2">
      <c r="A420" s="91"/>
      <c r="B420" s="764" t="s">
        <v>551</v>
      </c>
      <c r="C420" s="751">
        <v>12000</v>
      </c>
      <c r="D420" s="361">
        <v>1</v>
      </c>
      <c r="E420" s="361"/>
      <c r="F420" s="198">
        <v>89000</v>
      </c>
      <c r="G420" s="344"/>
      <c r="H420" s="518"/>
      <c r="I420" s="529"/>
      <c r="J420" s="345"/>
      <c r="K420" s="465"/>
    </row>
    <row r="421" spans="1:15" ht="21" customHeight="1" x14ac:dyDescent="0.2">
      <c r="A421" s="879" t="s">
        <v>154</v>
      </c>
      <c r="B421" s="885" t="s">
        <v>155</v>
      </c>
      <c r="C421" s="752"/>
      <c r="D421" s="753"/>
      <c r="E421" s="753"/>
      <c r="F421" s="558">
        <f>SUM(F422:F422)</f>
        <v>300000</v>
      </c>
      <c r="G421" s="344"/>
      <c r="H421" s="518"/>
      <c r="I421" s="529"/>
      <c r="J421" s="345"/>
      <c r="K421" s="465"/>
    </row>
    <row r="422" spans="1:15" x14ac:dyDescent="0.2">
      <c r="A422" s="872"/>
      <c r="B422" s="886"/>
      <c r="C422" s="751">
        <v>25000</v>
      </c>
      <c r="D422" s="361">
        <v>12</v>
      </c>
      <c r="E422" s="361"/>
      <c r="F422" s="198">
        <f>SUM(C422*D422)</f>
        <v>300000</v>
      </c>
      <c r="G422" s="344"/>
      <c r="H422" s="518"/>
      <c r="I422" s="529"/>
      <c r="J422" s="345"/>
      <c r="K422" s="465"/>
    </row>
    <row r="423" spans="1:15" ht="17.100000000000001" customHeight="1" x14ac:dyDescent="0.2">
      <c r="A423" s="101" t="s">
        <v>348</v>
      </c>
      <c r="B423" s="648" t="s">
        <v>159</v>
      </c>
      <c r="C423" s="152">
        <f>SUM(F411,F412,F415,F416,F421)</f>
        <v>7510000</v>
      </c>
      <c r="D423" s="202">
        <v>0.13</v>
      </c>
      <c r="E423" s="106">
        <f>C423*D423</f>
        <v>976300</v>
      </c>
      <c r="F423" s="198">
        <v>1000000</v>
      </c>
      <c r="O423" s="180"/>
    </row>
    <row r="424" spans="1:15" ht="17.100000000000001" customHeight="1" x14ac:dyDescent="0.2">
      <c r="A424" s="101"/>
      <c r="B424" s="648" t="s">
        <v>625</v>
      </c>
      <c r="C424" s="709">
        <f>SUM(F412)</f>
        <v>150000</v>
      </c>
      <c r="D424" s="710">
        <v>0.15</v>
      </c>
      <c r="E424" s="106">
        <f>C424*D424</f>
        <v>22500</v>
      </c>
      <c r="F424" s="198">
        <f t="shared" ref="F424" si="11">SUM(C424*D424)</f>
        <v>22500</v>
      </c>
      <c r="G424" s="212">
        <f>SUM(F423:F424)</f>
        <v>1022500</v>
      </c>
      <c r="O424" s="180"/>
    </row>
    <row r="425" spans="1:15" ht="17.100000000000001" customHeight="1" x14ac:dyDescent="0.2">
      <c r="A425" s="327"/>
      <c r="B425" s="878" t="s">
        <v>316</v>
      </c>
      <c r="C425" s="878"/>
      <c r="D425" s="878"/>
      <c r="E425" s="878"/>
      <c r="F425" s="199">
        <v>1100000</v>
      </c>
      <c r="H425" s="524"/>
      <c r="J425" s="111"/>
      <c r="O425" s="180"/>
    </row>
    <row r="426" spans="1:15" ht="17.100000000000001" customHeight="1" x14ac:dyDescent="0.2">
      <c r="A426" s="327" t="s">
        <v>170</v>
      </c>
      <c r="B426" s="859" t="s">
        <v>171</v>
      </c>
      <c r="C426" s="859"/>
      <c r="D426" s="859"/>
      <c r="E426" s="859"/>
      <c r="F426" s="859"/>
      <c r="I426" s="77"/>
      <c r="M426" s="181"/>
      <c r="N426" s="39"/>
      <c r="O426" s="182"/>
    </row>
    <row r="427" spans="1:15" ht="17.100000000000001" customHeight="1" x14ac:dyDescent="0.2">
      <c r="A427" s="327"/>
      <c r="B427" s="87" t="s">
        <v>376</v>
      </c>
      <c r="C427" s="112"/>
      <c r="D427" s="274">
        <v>0.27</v>
      </c>
      <c r="E427" s="112"/>
      <c r="F427" s="237">
        <v>500000</v>
      </c>
      <c r="I427" s="77">
        <f>SUM(F427*D427)</f>
        <v>135000</v>
      </c>
      <c r="M427" s="181"/>
      <c r="N427" s="39"/>
      <c r="O427" s="182"/>
    </row>
    <row r="428" spans="1:15" ht="17.100000000000001" customHeight="1" x14ac:dyDescent="0.2">
      <c r="A428" s="327"/>
      <c r="B428" s="87" t="s">
        <v>554</v>
      </c>
      <c r="C428" s="112">
        <v>30000</v>
      </c>
      <c r="D428" s="274">
        <v>0.27</v>
      </c>
      <c r="E428" s="112">
        <v>2</v>
      </c>
      <c r="F428" s="237">
        <v>60000</v>
      </c>
      <c r="I428" s="77">
        <f>SUM(F428*D428)</f>
        <v>16200.000000000002</v>
      </c>
      <c r="M428" s="181"/>
      <c r="N428" s="39"/>
      <c r="O428" s="182"/>
    </row>
    <row r="429" spans="1:15" ht="17.100000000000001" customHeight="1" x14ac:dyDescent="0.2">
      <c r="A429" s="327"/>
      <c r="B429" s="87" t="s">
        <v>626</v>
      </c>
      <c r="C429" s="112"/>
      <c r="D429" s="274">
        <v>0.27</v>
      </c>
      <c r="E429" s="112"/>
      <c r="F429" s="237">
        <v>400000</v>
      </c>
      <c r="I429" s="77">
        <f>SUM(F429*D429)</f>
        <v>108000</v>
      </c>
      <c r="M429" s="181"/>
      <c r="N429" s="39"/>
      <c r="O429" s="182"/>
    </row>
    <row r="430" spans="1:15" ht="17.100000000000001" customHeight="1" x14ac:dyDescent="0.2">
      <c r="A430" s="327"/>
      <c r="B430" s="87" t="s">
        <v>595</v>
      </c>
      <c r="C430" s="112"/>
      <c r="D430" s="274">
        <v>0.27</v>
      </c>
      <c r="E430" s="112"/>
      <c r="F430" s="237">
        <v>300000</v>
      </c>
      <c r="I430" s="77">
        <f>SUM(F430*D430)</f>
        <v>81000</v>
      </c>
      <c r="M430" s="181"/>
      <c r="N430" s="39"/>
      <c r="O430" s="182"/>
    </row>
    <row r="431" spans="1:15" ht="17.100000000000001" customHeight="1" x14ac:dyDescent="0.2">
      <c r="A431" s="327"/>
      <c r="B431" s="858" t="s">
        <v>320</v>
      </c>
      <c r="C431" s="858"/>
      <c r="D431" s="858"/>
      <c r="E431" s="858"/>
      <c r="F431" s="199">
        <f>SUM(F427:F430)</f>
        <v>1260000</v>
      </c>
      <c r="I431" s="77"/>
      <c r="M431" s="181"/>
      <c r="N431" s="39"/>
      <c r="O431" s="182"/>
    </row>
    <row r="432" spans="1:15" ht="17.100000000000001" customHeight="1" x14ac:dyDescent="0.2">
      <c r="A432" s="327" t="s">
        <v>187</v>
      </c>
      <c r="B432" s="326" t="s">
        <v>288</v>
      </c>
      <c r="C432" s="326"/>
      <c r="D432" s="206">
        <v>0.27</v>
      </c>
      <c r="E432" s="326"/>
      <c r="F432" s="199">
        <v>300000</v>
      </c>
      <c r="I432" s="77">
        <f t="shared" ref="I432:I440" si="12">SUM(F432*D432)</f>
        <v>81000</v>
      </c>
      <c r="M432" s="181"/>
      <c r="N432" s="39"/>
      <c r="O432" s="182"/>
    </row>
    <row r="433" spans="1:10" ht="17.100000000000001" customHeight="1" x14ac:dyDescent="0.2">
      <c r="A433" s="114" t="s">
        <v>195</v>
      </c>
      <c r="B433" s="87" t="s">
        <v>196</v>
      </c>
      <c r="C433" s="106"/>
      <c r="D433" s="207">
        <v>0.27</v>
      </c>
      <c r="E433" s="106"/>
      <c r="F433" s="268">
        <v>18000000</v>
      </c>
      <c r="G433" s="240"/>
      <c r="I433" s="77">
        <f t="shared" si="12"/>
        <v>4860000</v>
      </c>
    </row>
    <row r="434" spans="1:10" ht="17.100000000000001" customHeight="1" x14ac:dyDescent="0.2">
      <c r="A434" s="114" t="s">
        <v>199</v>
      </c>
      <c r="B434" s="858" t="s">
        <v>200</v>
      </c>
      <c r="C434" s="858"/>
      <c r="D434" s="858"/>
      <c r="E434" s="858"/>
      <c r="F434" s="199">
        <f>SUM(F435:F437)</f>
        <v>300000</v>
      </c>
      <c r="G434" s="240"/>
      <c r="I434" s="77"/>
    </row>
    <row r="435" spans="1:10" ht="17.100000000000001" customHeight="1" x14ac:dyDescent="0.2">
      <c r="A435" s="114"/>
      <c r="B435" s="87" t="s">
        <v>628</v>
      </c>
      <c r="C435" s="106"/>
      <c r="D435" s="207">
        <v>0.27</v>
      </c>
      <c r="E435" s="106"/>
      <c r="F435" s="198">
        <v>150000</v>
      </c>
      <c r="G435" s="240"/>
      <c r="I435" s="77">
        <f t="shared" si="12"/>
        <v>40500</v>
      </c>
    </row>
    <row r="436" spans="1:10" ht="17.100000000000001" customHeight="1" x14ac:dyDescent="0.2">
      <c r="A436" s="114"/>
      <c r="B436" s="87" t="s">
        <v>627</v>
      </c>
      <c r="C436" s="106"/>
      <c r="D436" s="207" t="s">
        <v>562</v>
      </c>
      <c r="E436" s="106"/>
      <c r="F436" s="198">
        <v>50000</v>
      </c>
      <c r="G436" s="240"/>
      <c r="I436" s="77"/>
    </row>
    <row r="437" spans="1:10" ht="17.100000000000001" customHeight="1" x14ac:dyDescent="0.2">
      <c r="A437" s="114"/>
      <c r="B437" s="87" t="s">
        <v>596</v>
      </c>
      <c r="C437" s="106"/>
      <c r="D437" s="207">
        <v>0.27</v>
      </c>
      <c r="E437" s="106"/>
      <c r="F437" s="198">
        <v>100000</v>
      </c>
      <c r="G437" s="240"/>
      <c r="I437" s="77">
        <f t="shared" si="12"/>
        <v>27000</v>
      </c>
    </row>
    <row r="438" spans="1:10" ht="17.100000000000001" customHeight="1" x14ac:dyDescent="0.2">
      <c r="A438" s="114" t="s">
        <v>201</v>
      </c>
      <c r="B438" s="858" t="s">
        <v>202</v>
      </c>
      <c r="C438" s="858"/>
      <c r="D438" s="858">
        <v>0.27</v>
      </c>
      <c r="E438" s="858"/>
      <c r="F438" s="199">
        <f>SUM(F439)</f>
        <v>25000</v>
      </c>
      <c r="G438" s="240"/>
      <c r="I438" s="77">
        <f t="shared" si="12"/>
        <v>6750</v>
      </c>
    </row>
    <row r="439" spans="1:10" ht="17.100000000000001" customHeight="1" x14ac:dyDescent="0.2">
      <c r="A439" s="114"/>
      <c r="B439" s="87" t="s">
        <v>629</v>
      </c>
      <c r="C439" s="106"/>
      <c r="D439" s="207" t="s">
        <v>562</v>
      </c>
      <c r="E439" s="106"/>
      <c r="F439" s="268">
        <v>25000</v>
      </c>
      <c r="G439" s="240"/>
      <c r="I439" s="77"/>
    </row>
    <row r="440" spans="1:10" ht="18" customHeight="1" x14ac:dyDescent="0.2">
      <c r="A440" s="114" t="s">
        <v>205</v>
      </c>
      <c r="B440" s="284" t="s">
        <v>206</v>
      </c>
      <c r="C440" s="285"/>
      <c r="D440" s="507">
        <v>0.27</v>
      </c>
      <c r="E440" s="285"/>
      <c r="F440" s="199">
        <v>50000</v>
      </c>
      <c r="I440" s="77">
        <f t="shared" si="12"/>
        <v>13500</v>
      </c>
    </row>
    <row r="441" spans="1:10" ht="20.25" customHeight="1" x14ac:dyDescent="0.2">
      <c r="A441" s="86" t="s">
        <v>213</v>
      </c>
      <c r="B441" s="858" t="s">
        <v>271</v>
      </c>
      <c r="C441" s="858"/>
      <c r="D441" s="858"/>
      <c r="E441" s="858">
        <f>C441*D441</f>
        <v>0</v>
      </c>
      <c r="F441" s="199">
        <v>5350000</v>
      </c>
      <c r="G441" s="221"/>
      <c r="H441" s="524"/>
      <c r="I441" s="77">
        <f>SUM(I425:I440)</f>
        <v>5368950</v>
      </c>
      <c r="J441" s="111"/>
    </row>
    <row r="442" spans="1:10" ht="19.5" customHeight="1" x14ac:dyDescent="0.2">
      <c r="A442" s="86" t="s">
        <v>294</v>
      </c>
      <c r="B442" s="87" t="s">
        <v>220</v>
      </c>
      <c r="C442" s="112"/>
      <c r="D442" s="207">
        <v>0.27</v>
      </c>
      <c r="E442" s="112"/>
      <c r="F442" s="237">
        <v>30000</v>
      </c>
      <c r="I442" s="77">
        <f>SUM(D442*F442)</f>
        <v>8100.0000000000009</v>
      </c>
    </row>
    <row r="443" spans="1:10" ht="18.75" customHeight="1" x14ac:dyDescent="0.2">
      <c r="A443" s="91" t="s">
        <v>247</v>
      </c>
      <c r="B443" s="92" t="s">
        <v>351</v>
      </c>
      <c r="C443" s="359"/>
      <c r="D443" s="95"/>
      <c r="E443" s="95"/>
      <c r="F443" s="338">
        <v>0</v>
      </c>
      <c r="I443" s="77">
        <f>SUM(I441:I442)</f>
        <v>5377050</v>
      </c>
    </row>
    <row r="444" spans="1:10" ht="20.25" customHeight="1" x14ac:dyDescent="0.2">
      <c r="A444" s="91" t="s">
        <v>249</v>
      </c>
      <c r="B444" s="92" t="s">
        <v>276</v>
      </c>
      <c r="C444" s="359"/>
      <c r="D444" s="216">
        <v>0.27</v>
      </c>
      <c r="E444" s="95">
        <f>C444*D444</f>
        <v>0</v>
      </c>
      <c r="F444" s="338">
        <f>C444*D444</f>
        <v>0</v>
      </c>
      <c r="I444" s="77"/>
    </row>
    <row r="445" spans="1:10" ht="20.25" customHeight="1" x14ac:dyDescent="0.2">
      <c r="A445" s="91" t="s">
        <v>297</v>
      </c>
      <c r="B445" s="92" t="s">
        <v>352</v>
      </c>
      <c r="C445" s="359"/>
      <c r="D445" s="216"/>
      <c r="E445" s="95"/>
      <c r="F445" s="338">
        <v>0</v>
      </c>
      <c r="I445" s="77"/>
    </row>
    <row r="446" spans="1:10" ht="20.25" customHeight="1" thickBot="1" x14ac:dyDescent="0.25">
      <c r="A446" s="91" t="s">
        <v>298</v>
      </c>
      <c r="B446" s="92" t="s">
        <v>277</v>
      </c>
      <c r="C446" s="359"/>
      <c r="D446" s="216"/>
      <c r="E446" s="95"/>
      <c r="F446" s="338">
        <v>0</v>
      </c>
      <c r="I446" s="77"/>
    </row>
    <row r="447" spans="1:10" ht="23.25" customHeight="1" thickBot="1" x14ac:dyDescent="0.25">
      <c r="A447" s="845" t="s">
        <v>279</v>
      </c>
      <c r="B447" s="845"/>
      <c r="C447" s="845"/>
      <c r="D447" s="845"/>
      <c r="E447" s="845"/>
      <c r="F447" s="220">
        <f>F411+F412+F415+F425+F431+F433+F440+F441+F438+F416+F434+F432</f>
        <v>33595000</v>
      </c>
      <c r="G447" s="212">
        <f>SUM(F447-'Kiadások COFOG szerint'!F262)</f>
        <v>0</v>
      </c>
    </row>
    <row r="448" spans="1:10" ht="24" hidden="1" customHeight="1" thickBot="1" x14ac:dyDescent="0.25">
      <c r="A448" s="853" t="s">
        <v>451</v>
      </c>
      <c r="B448" s="853"/>
      <c r="C448" s="853"/>
      <c r="D448" s="853"/>
      <c r="E448" s="853"/>
      <c r="F448" s="853"/>
    </row>
    <row r="449" spans="1:12" ht="22.5" hidden="1" customHeight="1" thickBot="1" x14ac:dyDescent="0.25">
      <c r="A449" s="863" t="s">
        <v>46</v>
      </c>
      <c r="B449" s="864" t="s">
        <v>47</v>
      </c>
      <c r="C449" s="851">
        <v>2022</v>
      </c>
      <c r="D449" s="851"/>
      <c r="E449" s="851"/>
      <c r="F449" s="851"/>
      <c r="L449" s="155"/>
    </row>
    <row r="450" spans="1:12" ht="24.75" hidden="1" customHeight="1" thickBot="1" x14ac:dyDescent="0.25">
      <c r="A450" s="863"/>
      <c r="B450" s="864"/>
      <c r="C450" s="852"/>
      <c r="D450" s="852"/>
      <c r="E450" s="852"/>
      <c r="F450" s="194" t="s">
        <v>510</v>
      </c>
    </row>
    <row r="451" spans="1:12" ht="26.25" hidden="1" customHeight="1" thickBot="1" x14ac:dyDescent="0.25">
      <c r="A451" s="223" t="s">
        <v>231</v>
      </c>
      <c r="B451" s="433" t="s">
        <v>272</v>
      </c>
      <c r="C451" s="873" t="s">
        <v>353</v>
      </c>
      <c r="D451" s="873"/>
      <c r="E451" s="873"/>
      <c r="F451" s="434">
        <v>0</v>
      </c>
      <c r="G451" s="357"/>
      <c r="H451" s="525"/>
      <c r="J451" s="174"/>
    </row>
    <row r="452" spans="1:12" ht="24" hidden="1" customHeight="1" thickBot="1" x14ac:dyDescent="0.25">
      <c r="A452" s="874" t="s">
        <v>279</v>
      </c>
      <c r="B452" s="874"/>
      <c r="C452" s="874"/>
      <c r="D452" s="874"/>
      <c r="E452" s="874"/>
      <c r="F452" s="335">
        <f>SUM(F451:F451)</f>
        <v>0</v>
      </c>
    </row>
    <row r="453" spans="1:12" ht="24" customHeight="1" thickBot="1" x14ac:dyDescent="0.25">
      <c r="A453" s="853" t="s">
        <v>452</v>
      </c>
      <c r="B453" s="853"/>
      <c r="C453" s="853"/>
      <c r="D453" s="853"/>
      <c r="E453" s="853"/>
      <c r="F453" s="853"/>
    </row>
    <row r="454" spans="1:12" ht="24" customHeight="1" thickBot="1" x14ac:dyDescent="0.25">
      <c r="A454" s="863" t="s">
        <v>46</v>
      </c>
      <c r="B454" s="864" t="s">
        <v>47</v>
      </c>
      <c r="C454" s="851">
        <v>2023</v>
      </c>
      <c r="D454" s="851"/>
      <c r="E454" s="851"/>
      <c r="F454" s="851"/>
    </row>
    <row r="455" spans="1:12" ht="24" customHeight="1" thickBot="1" x14ac:dyDescent="0.25">
      <c r="A455" s="863"/>
      <c r="B455" s="864"/>
      <c r="C455" s="852"/>
      <c r="D455" s="852"/>
      <c r="E455" s="852"/>
      <c r="F455" s="194" t="s">
        <v>510</v>
      </c>
    </row>
    <row r="456" spans="1:12" ht="24" customHeight="1" x14ac:dyDescent="0.2">
      <c r="A456" s="365" t="s">
        <v>195</v>
      </c>
      <c r="B456" s="363" t="s">
        <v>356</v>
      </c>
      <c r="C456" s="875"/>
      <c r="D456" s="875"/>
      <c r="E456" s="875"/>
      <c r="F456" s="364">
        <v>1800000</v>
      </c>
      <c r="H456" s="657">
        <f>SUM(F456*0.27)</f>
        <v>486000.00000000006</v>
      </c>
    </row>
    <row r="457" spans="1:12" ht="24" customHeight="1" thickBot="1" x14ac:dyDescent="0.25">
      <c r="A457" s="241" t="s">
        <v>213</v>
      </c>
      <c r="B457" s="151" t="s">
        <v>271</v>
      </c>
      <c r="C457" s="876"/>
      <c r="D457" s="876"/>
      <c r="E457" s="876"/>
      <c r="F457" s="369">
        <v>486000</v>
      </c>
    </row>
    <row r="458" spans="1:12" ht="24" customHeight="1" thickBot="1" x14ac:dyDescent="0.25">
      <c r="A458" s="845" t="s">
        <v>279</v>
      </c>
      <c r="B458" s="845"/>
      <c r="C458" s="845"/>
      <c r="D458" s="845"/>
      <c r="E458" s="845"/>
      <c r="F458" s="220">
        <f>SUM(F456:F457)</f>
        <v>2286000</v>
      </c>
      <c r="G458" s="212">
        <f>SUM(F458-'Kiadások COFOG szerint'!F276)</f>
        <v>0</v>
      </c>
    </row>
    <row r="459" spans="1:12" ht="23.25" hidden="1" customHeight="1" thickBot="1" x14ac:dyDescent="0.25">
      <c r="A459" s="862" t="s">
        <v>139</v>
      </c>
      <c r="B459" s="862"/>
      <c r="C459" s="862"/>
      <c r="D459" s="862"/>
      <c r="E459" s="862"/>
      <c r="F459" s="862"/>
    </row>
    <row r="460" spans="1:12" ht="16.5" hidden="1" customHeight="1" thickBot="1" x14ac:dyDescent="0.25">
      <c r="A460" s="863" t="s">
        <v>46</v>
      </c>
      <c r="B460" s="850" t="s">
        <v>47</v>
      </c>
      <c r="C460" s="851">
        <v>2021</v>
      </c>
      <c r="D460" s="851"/>
      <c r="E460" s="851"/>
      <c r="F460" s="851"/>
    </row>
    <row r="461" spans="1:12" ht="25.5" hidden="1" customHeight="1" thickBot="1" x14ac:dyDescent="0.25">
      <c r="A461" s="863"/>
      <c r="B461" s="864"/>
      <c r="C461" s="852"/>
      <c r="D461" s="852"/>
      <c r="E461" s="852"/>
      <c r="F461" s="194" t="s">
        <v>510</v>
      </c>
    </row>
    <row r="462" spans="1:12" ht="25.5" hidden="1" customHeight="1" thickBot="1" x14ac:dyDescent="0.25">
      <c r="A462" s="242" t="s">
        <v>221</v>
      </c>
      <c r="B462" s="83" t="s">
        <v>354</v>
      </c>
      <c r="C462" s="882" t="s">
        <v>355</v>
      </c>
      <c r="D462" s="882"/>
      <c r="E462" s="882"/>
      <c r="F462" s="437">
        <v>0</v>
      </c>
    </row>
    <row r="463" spans="1:12" ht="21" hidden="1" customHeight="1" thickBot="1" x14ac:dyDescent="0.25">
      <c r="A463" s="861" t="s">
        <v>279</v>
      </c>
      <c r="B463" s="861"/>
      <c r="C463" s="861"/>
      <c r="D463" s="861"/>
      <c r="E463" s="861"/>
      <c r="F463" s="220">
        <f>SUM(F462:F462)</f>
        <v>0</v>
      </c>
    </row>
    <row r="464" spans="1:12" ht="22.5" hidden="1" customHeight="1" thickBot="1" x14ac:dyDescent="0.25">
      <c r="A464" s="853" t="s">
        <v>299</v>
      </c>
      <c r="B464" s="853"/>
      <c r="C464" s="853"/>
      <c r="D464" s="853"/>
      <c r="E464" s="853"/>
      <c r="F464" s="853"/>
    </row>
    <row r="465" spans="1:6" ht="22.5" hidden="1" customHeight="1" thickBot="1" x14ac:dyDescent="0.25">
      <c r="A465" s="880" t="s">
        <v>46</v>
      </c>
      <c r="B465" s="881" t="s">
        <v>47</v>
      </c>
      <c r="C465" s="851">
        <v>2021</v>
      </c>
      <c r="D465" s="851"/>
      <c r="E465" s="851"/>
      <c r="F465" s="851"/>
    </row>
    <row r="466" spans="1:6" ht="22.5" hidden="1" customHeight="1" thickBot="1" x14ac:dyDescent="0.25">
      <c r="A466" s="880"/>
      <c r="B466" s="881"/>
      <c r="C466" s="852"/>
      <c r="D466" s="852"/>
      <c r="E466" s="852"/>
      <c r="F466" s="194" t="s">
        <v>510</v>
      </c>
    </row>
    <row r="467" spans="1:6" ht="22.5" hidden="1" customHeight="1" x14ac:dyDescent="0.2">
      <c r="A467" s="154" t="s">
        <v>195</v>
      </c>
      <c r="B467" s="188" t="s">
        <v>356</v>
      </c>
      <c r="C467" s="367"/>
      <c r="D467" s="203">
        <v>0.27</v>
      </c>
      <c r="E467" s="367"/>
      <c r="F467" s="268">
        <v>0</v>
      </c>
    </row>
    <row r="468" spans="1:6" ht="22.5" hidden="1" customHeight="1" x14ac:dyDescent="0.2">
      <c r="A468" s="154" t="s">
        <v>213</v>
      </c>
      <c r="B468" s="188" t="s">
        <v>271</v>
      </c>
      <c r="C468" s="368">
        <f>F467</f>
        <v>0</v>
      </c>
      <c r="D468" s="203">
        <v>0.27</v>
      </c>
      <c r="E468" s="367"/>
      <c r="F468" s="268">
        <f>C468*D468</f>
        <v>0</v>
      </c>
    </row>
    <row r="469" spans="1:6" ht="22.5" hidden="1" customHeight="1" x14ac:dyDescent="0.2">
      <c r="A469" s="861" t="s">
        <v>279</v>
      </c>
      <c r="B469" s="861"/>
      <c r="C469" s="861"/>
      <c r="D469" s="861"/>
      <c r="E469" s="861"/>
      <c r="F469" s="220">
        <f>SUM(F467:F468)</f>
        <v>0</v>
      </c>
    </row>
    <row r="470" spans="1:6" ht="24.75" customHeight="1" thickBot="1" x14ac:dyDescent="0.25">
      <c r="A470" s="862" t="s">
        <v>455</v>
      </c>
      <c r="B470" s="862"/>
      <c r="C470" s="862"/>
      <c r="D470" s="862"/>
      <c r="E470" s="862"/>
      <c r="F470" s="862"/>
    </row>
    <row r="471" spans="1:6" ht="15.75" customHeight="1" thickBot="1" x14ac:dyDescent="0.25">
      <c r="A471" s="849" t="s">
        <v>46</v>
      </c>
      <c r="B471" s="850" t="s">
        <v>47</v>
      </c>
      <c r="C471" s="851">
        <v>2023</v>
      </c>
      <c r="D471" s="851"/>
      <c r="E471" s="851"/>
      <c r="F471" s="851"/>
    </row>
    <row r="472" spans="1:6" ht="24" customHeight="1" thickBot="1" x14ac:dyDescent="0.25">
      <c r="A472" s="863"/>
      <c r="B472" s="864"/>
      <c r="C472" s="852"/>
      <c r="D472" s="852"/>
      <c r="E472" s="852"/>
      <c r="F472" s="194" t="s">
        <v>510</v>
      </c>
    </row>
    <row r="473" spans="1:6" ht="21" customHeight="1" x14ac:dyDescent="0.2">
      <c r="A473" s="448" t="s">
        <v>504</v>
      </c>
      <c r="B473" s="284" t="s">
        <v>415</v>
      </c>
      <c r="C473" s="285" t="s">
        <v>505</v>
      </c>
      <c r="D473" s="507"/>
      <c r="E473" s="285"/>
      <c r="F473" s="199"/>
    </row>
    <row r="474" spans="1:6" ht="21" customHeight="1" x14ac:dyDescent="0.2">
      <c r="A474" s="82" t="s">
        <v>424</v>
      </c>
      <c r="B474" s="284" t="s">
        <v>483</v>
      </c>
      <c r="C474" s="285"/>
      <c r="D474" s="507"/>
      <c r="E474" s="285">
        <v>50000</v>
      </c>
      <c r="F474" s="199"/>
    </row>
    <row r="475" spans="1:6" ht="21" customHeight="1" x14ac:dyDescent="0.2">
      <c r="A475" s="503" t="s">
        <v>148</v>
      </c>
      <c r="B475" s="284" t="s">
        <v>149</v>
      </c>
      <c r="C475" s="285" t="s">
        <v>552</v>
      </c>
      <c r="D475" s="507"/>
      <c r="E475" s="285">
        <v>12000</v>
      </c>
      <c r="F475" s="199"/>
    </row>
    <row r="476" spans="1:6" ht="21" customHeight="1" x14ac:dyDescent="0.2">
      <c r="A476" s="503" t="s">
        <v>154</v>
      </c>
      <c r="B476" s="284" t="s">
        <v>638</v>
      </c>
      <c r="C476" s="285"/>
      <c r="D476" s="507"/>
      <c r="E476" s="285"/>
      <c r="F476" s="199">
        <f>SUM(F477)</f>
        <v>1980000</v>
      </c>
    </row>
    <row r="477" spans="1:6" x14ac:dyDescent="0.2">
      <c r="A477" s="503"/>
      <c r="B477" s="504"/>
      <c r="C477" s="505" t="s">
        <v>639</v>
      </c>
      <c r="D477" s="506">
        <v>12</v>
      </c>
      <c r="E477" s="506">
        <v>165000</v>
      </c>
      <c r="F477" s="733">
        <f>SUM(D477*E477)</f>
        <v>1980000</v>
      </c>
    </row>
    <row r="478" spans="1:6" x14ac:dyDescent="0.2">
      <c r="A478" s="503" t="s">
        <v>348</v>
      </c>
      <c r="B478" s="284" t="s">
        <v>633</v>
      </c>
      <c r="C478" s="285"/>
      <c r="D478" s="507"/>
      <c r="E478" s="285"/>
      <c r="F478" s="199">
        <f>SUM(F479:F480)</f>
        <v>260000</v>
      </c>
    </row>
    <row r="479" spans="1:6" x14ac:dyDescent="0.2">
      <c r="B479" s="447" t="s">
        <v>159</v>
      </c>
      <c r="C479" s="502">
        <f>SUM(F476+F474+F475)</f>
        <v>1980000</v>
      </c>
      <c r="D479" s="464">
        <v>0.13</v>
      </c>
      <c r="E479" s="502">
        <f>SUM(C479*D479)</f>
        <v>257400</v>
      </c>
      <c r="F479" s="339">
        <v>260000</v>
      </c>
    </row>
    <row r="480" spans="1:6" x14ac:dyDescent="0.2">
      <c r="A480" s="503"/>
      <c r="B480" s="504" t="s">
        <v>631</v>
      </c>
      <c r="C480" s="506">
        <f>SUM(F474)</f>
        <v>0</v>
      </c>
      <c r="D480" s="715">
        <v>0.15</v>
      </c>
      <c r="E480" s="506">
        <f>SUM(C480*D480)</f>
        <v>0</v>
      </c>
      <c r="F480" s="733"/>
    </row>
    <row r="481" spans="1:15" ht="18.75" customHeight="1" x14ac:dyDescent="0.2">
      <c r="A481" s="114" t="s">
        <v>201</v>
      </c>
      <c r="B481" s="284" t="s">
        <v>202</v>
      </c>
      <c r="C481" s="285"/>
      <c r="D481" s="507"/>
      <c r="E481" s="285"/>
      <c r="F481" s="199"/>
    </row>
    <row r="482" spans="1:15" ht="26.25" customHeight="1" thickBot="1" x14ac:dyDescent="0.25">
      <c r="A482" s="178" t="s">
        <v>231</v>
      </c>
      <c r="B482" s="284" t="s">
        <v>272</v>
      </c>
      <c r="C482" s="865" t="s">
        <v>357</v>
      </c>
      <c r="D482" s="866"/>
      <c r="E482" s="867"/>
      <c r="F482" s="199">
        <v>0</v>
      </c>
      <c r="G482" s="438" t="s">
        <v>503</v>
      </c>
      <c r="H482" s="526"/>
      <c r="I482" s="533"/>
      <c r="J482" s="275"/>
      <c r="K482" s="243"/>
      <c r="L482" s="244"/>
      <c r="M482" s="243"/>
    </row>
    <row r="483" spans="1:15" ht="21.75" customHeight="1" thickBot="1" x14ac:dyDescent="0.25">
      <c r="A483" s="845" t="s">
        <v>279</v>
      </c>
      <c r="B483" s="845"/>
      <c r="C483" s="845"/>
      <c r="D483" s="845"/>
      <c r="E483" s="845"/>
      <c r="F483" s="220">
        <f>SUM(F473+F474+F475+F476+F478+F481+F482)</f>
        <v>2240000</v>
      </c>
      <c r="G483" s="212">
        <f>SUM(F483-'Kiadások COFOG szerint'!F298)</f>
        <v>0</v>
      </c>
    </row>
    <row r="484" spans="1:15" ht="24.75" customHeight="1" thickBot="1" x14ac:dyDescent="0.25">
      <c r="A484" s="868" t="s">
        <v>302</v>
      </c>
      <c r="B484" s="868"/>
      <c r="C484" s="862"/>
      <c r="D484" s="862"/>
      <c r="E484" s="862"/>
      <c r="F484" s="862"/>
    </row>
    <row r="485" spans="1:15" ht="18.75" customHeight="1" x14ac:dyDescent="0.2">
      <c r="A485" s="870" t="s">
        <v>46</v>
      </c>
      <c r="B485" s="870" t="s">
        <v>47</v>
      </c>
      <c r="C485" s="851">
        <v>2023</v>
      </c>
      <c r="D485" s="851"/>
      <c r="E485" s="851"/>
      <c r="F485" s="851"/>
      <c r="H485" s="827" t="s">
        <v>553</v>
      </c>
      <c r="I485" s="827"/>
      <c r="J485" s="119">
        <f>SUM('Bevételek COFOG szerint 2023'!F61)</f>
        <v>7997000</v>
      </c>
    </row>
    <row r="486" spans="1:15" ht="25.5" customHeight="1" thickBot="1" x14ac:dyDescent="0.25">
      <c r="A486" s="870"/>
      <c r="B486" s="870"/>
      <c r="C486" s="852"/>
      <c r="D486" s="852"/>
      <c r="E486" s="852"/>
      <c r="F486" s="194" t="s">
        <v>510</v>
      </c>
    </row>
    <row r="487" spans="1:15" ht="25.5" customHeight="1" x14ac:dyDescent="0.2">
      <c r="A487" s="373" t="s">
        <v>170</v>
      </c>
      <c r="B487" s="376" t="s">
        <v>456</v>
      </c>
      <c r="C487" s="372" t="s">
        <v>683</v>
      </c>
      <c r="D487" s="370"/>
      <c r="E487" s="370"/>
      <c r="F487" s="339">
        <v>116000</v>
      </c>
      <c r="G487" s="212"/>
      <c r="H487" s="513"/>
      <c r="I487" s="534" t="s">
        <v>719</v>
      </c>
      <c r="J487" s="767">
        <v>759000</v>
      </c>
    </row>
    <row r="488" spans="1:15" ht="25.5" customHeight="1" x14ac:dyDescent="0.2">
      <c r="A488" s="161" t="s">
        <v>358</v>
      </c>
      <c r="B488" s="245" t="s">
        <v>377</v>
      </c>
      <c r="C488" s="246"/>
      <c r="D488" s="246"/>
      <c r="E488" s="246"/>
      <c r="F488" s="247">
        <v>300000</v>
      </c>
      <c r="G488" s="212"/>
      <c r="J488" s="768"/>
    </row>
    <row r="489" spans="1:15" ht="25.5" customHeight="1" x14ac:dyDescent="0.2">
      <c r="A489" s="161" t="s">
        <v>213</v>
      </c>
      <c r="B489" s="245" t="s">
        <v>271</v>
      </c>
      <c r="C489" s="312">
        <f>F488+F487</f>
        <v>416000</v>
      </c>
      <c r="D489" s="374">
        <v>0.27</v>
      </c>
      <c r="E489" s="375">
        <f>C489*D489</f>
        <v>112320.00000000001</v>
      </c>
      <c r="F489" s="247">
        <v>113000</v>
      </c>
      <c r="G489" s="212"/>
      <c r="J489" s="768"/>
    </row>
    <row r="490" spans="1:15" ht="21.75" customHeight="1" thickBot="1" x14ac:dyDescent="0.25">
      <c r="A490" s="161" t="s">
        <v>457</v>
      </c>
      <c r="B490" s="245" t="s">
        <v>464</v>
      </c>
      <c r="C490" s="312"/>
      <c r="D490" s="374"/>
      <c r="E490" s="375"/>
      <c r="F490" s="247"/>
      <c r="G490" s="212"/>
      <c r="I490" s="534" t="s">
        <v>720</v>
      </c>
      <c r="J490" s="769">
        <v>204930</v>
      </c>
    </row>
    <row r="491" spans="1:15" ht="21" customHeight="1" x14ac:dyDescent="0.2">
      <c r="A491" s="871" t="s">
        <v>359</v>
      </c>
      <c r="B491" s="377" t="s">
        <v>360</v>
      </c>
      <c r="C491" s="378"/>
      <c r="D491" s="379"/>
      <c r="E491" s="380"/>
      <c r="F491" s="381">
        <v>6300000</v>
      </c>
      <c r="G491" s="212"/>
      <c r="J491" s="768">
        <f>SUM(J487:J490)</f>
        <v>963930</v>
      </c>
      <c r="M491" s="248"/>
      <c r="N491" s="192"/>
      <c r="O491" s="249"/>
    </row>
    <row r="492" spans="1:15" ht="36.75" customHeight="1" thickBot="1" x14ac:dyDescent="0.25">
      <c r="A492" s="872"/>
      <c r="B492" s="382" t="s">
        <v>462</v>
      </c>
      <c r="C492" s="106"/>
      <c r="D492" s="106"/>
      <c r="E492" s="210"/>
      <c r="F492" s="250">
        <v>6300000</v>
      </c>
      <c r="G492" s="212"/>
      <c r="H492" s="523"/>
      <c r="J492" s="69"/>
      <c r="M492" s="248"/>
      <c r="N492" s="192"/>
      <c r="O492" s="249"/>
    </row>
    <row r="493" spans="1:15" ht="25.5" customHeight="1" x14ac:dyDescent="0.2">
      <c r="A493" s="371" t="s">
        <v>361</v>
      </c>
      <c r="B493" s="253" t="s">
        <v>362</v>
      </c>
      <c r="C493" s="254"/>
      <c r="D493" s="254"/>
      <c r="E493" s="254"/>
      <c r="F493" s="255">
        <v>5500000</v>
      </c>
      <c r="G493" s="358"/>
      <c r="M493" s="248"/>
      <c r="N493" s="192"/>
      <c r="O493" s="249"/>
    </row>
    <row r="494" spans="1:15" ht="21.75" customHeight="1" x14ac:dyDescent="0.2">
      <c r="A494" s="256"/>
      <c r="B494" s="251" t="s">
        <v>459</v>
      </c>
      <c r="C494" s="257"/>
      <c r="D494" s="257"/>
      <c r="E494" s="257"/>
      <c r="F494" s="252">
        <v>1500000</v>
      </c>
      <c r="G494" s="358"/>
      <c r="H494" s="513"/>
      <c r="M494" s="248"/>
      <c r="N494" s="192"/>
      <c r="O494" s="249"/>
    </row>
    <row r="495" spans="1:15" ht="21.75" customHeight="1" x14ac:dyDescent="0.2">
      <c r="A495" s="256"/>
      <c r="B495" s="251" t="s">
        <v>461</v>
      </c>
      <c r="C495" s="257"/>
      <c r="D495" s="257"/>
      <c r="E495" s="257"/>
      <c r="F495" s="252">
        <v>1000000</v>
      </c>
      <c r="G495" s="358"/>
      <c r="H495" s="513"/>
      <c r="M495" s="248"/>
      <c r="N495" s="192"/>
      <c r="O495" s="249"/>
    </row>
    <row r="496" spans="1:15" ht="21.75" customHeight="1" x14ac:dyDescent="0.2">
      <c r="A496" s="256"/>
      <c r="B496" s="251" t="s">
        <v>458</v>
      </c>
      <c r="C496" s="257"/>
      <c r="D496" s="257"/>
      <c r="E496" s="257"/>
      <c r="F496" s="252">
        <v>800000</v>
      </c>
      <c r="G496" s="358"/>
      <c r="H496" s="513"/>
      <c r="M496" s="248"/>
      <c r="N496" s="192"/>
      <c r="O496" s="249"/>
    </row>
    <row r="497" spans="1:15" ht="20.100000000000001" customHeight="1" x14ac:dyDescent="0.2">
      <c r="A497" s="258" t="s">
        <v>361</v>
      </c>
      <c r="B497" s="251" t="s">
        <v>460</v>
      </c>
      <c r="C497" s="227" t="s">
        <v>363</v>
      </c>
      <c r="D497" s="95"/>
      <c r="E497" s="95"/>
      <c r="F497" s="252">
        <v>900000</v>
      </c>
      <c r="G497" s="358"/>
      <c r="H497" s="513"/>
      <c r="M497" s="248"/>
      <c r="N497" s="192"/>
      <c r="O497" s="249"/>
    </row>
    <row r="498" spans="1:15" ht="20.100000000000001" customHeight="1" thickBot="1" x14ac:dyDescent="0.25">
      <c r="A498" s="279" t="s">
        <v>361</v>
      </c>
      <c r="B498" s="251" t="s">
        <v>364</v>
      </c>
      <c r="C498" s="227" t="s">
        <v>363</v>
      </c>
      <c r="D498" s="95"/>
      <c r="E498" s="95"/>
      <c r="F498" s="252">
        <v>1300000</v>
      </c>
      <c r="G498" s="212"/>
      <c r="H498" s="513"/>
      <c r="L498" s="243"/>
      <c r="M498" s="248"/>
      <c r="N498" s="192"/>
      <c r="O498" s="249"/>
    </row>
    <row r="499" spans="1:15" ht="21" customHeight="1" thickBot="1" x14ac:dyDescent="0.25">
      <c r="A499" s="845" t="s">
        <v>279</v>
      </c>
      <c r="B499" s="845"/>
      <c r="C499" s="845"/>
      <c r="D499" s="845"/>
      <c r="E499" s="845"/>
      <c r="F499" s="220">
        <f>F487+F488+F489+F490+F491+F493</f>
        <v>12329000</v>
      </c>
      <c r="G499" s="212">
        <f>SUM(F499-'Kiadások COFOG szerint'!F309)</f>
        <v>0</v>
      </c>
      <c r="M499" s="822"/>
      <c r="N499" s="822"/>
      <c r="O499" s="249"/>
    </row>
    <row r="500" spans="1:15" x14ac:dyDescent="0.2">
      <c r="M500" s="822"/>
      <c r="N500" s="822"/>
      <c r="O500" s="249"/>
    </row>
    <row r="501" spans="1:15" ht="13.5" customHeight="1" thickBot="1" x14ac:dyDescent="0.25">
      <c r="M501" s="822"/>
      <c r="N501" s="822"/>
      <c r="O501" s="249"/>
    </row>
    <row r="502" spans="1:15" ht="0.75" hidden="1" customHeight="1" x14ac:dyDescent="0.2">
      <c r="M502" s="822"/>
      <c r="N502" s="822"/>
      <c r="O502" s="249"/>
    </row>
    <row r="503" spans="1:15" ht="21.75" customHeight="1" thickBot="1" x14ac:dyDescent="0.25">
      <c r="A503" s="860" t="s">
        <v>307</v>
      </c>
      <c r="B503" s="860"/>
      <c r="C503" s="860"/>
      <c r="D503" s="860"/>
      <c r="E503" s="860"/>
      <c r="F503" s="260">
        <f>F123+F141+F156+F169+F175+F192+F206+F216+F234+F242+F259+F314+F361+F367+F379+F402+F447+F452+F458+F463+F469+F483+F499+F251</f>
        <v>667551738</v>
      </c>
      <c r="M503" s="827"/>
      <c r="N503" s="827"/>
      <c r="O503" s="249"/>
    </row>
    <row r="504" spans="1:15" x14ac:dyDescent="0.2">
      <c r="O504" s="249"/>
    </row>
    <row r="505" spans="1:15" x14ac:dyDescent="0.2">
      <c r="F505" s="484">
        <f>'Bevételek COFOG szerint 2023'!F162-'Kiadások részletes COFOG'!F503</f>
        <v>0</v>
      </c>
    </row>
    <row r="507" spans="1:15" x14ac:dyDescent="0.2">
      <c r="B507" s="118"/>
    </row>
    <row r="508" spans="1:15" ht="24" customHeight="1" x14ac:dyDescent="0.2">
      <c r="B508" s="869"/>
      <c r="C508" s="869"/>
      <c r="D508" s="869"/>
      <c r="E508" s="290"/>
      <c r="F508" s="291"/>
    </row>
    <row r="509" spans="1:15" x14ac:dyDescent="0.2">
      <c r="B509" s="290"/>
      <c r="C509" s="290"/>
      <c r="D509" s="290"/>
      <c r="E509" s="290"/>
      <c r="F509" s="292"/>
    </row>
    <row r="510" spans="1:15" x14ac:dyDescent="0.2">
      <c r="B510" s="290"/>
      <c r="C510" s="290"/>
      <c r="D510" s="290"/>
      <c r="E510" s="290"/>
      <c r="F510" s="292"/>
    </row>
    <row r="511" spans="1:15" x14ac:dyDescent="0.2">
      <c r="B511" s="290"/>
      <c r="C511" s="290"/>
      <c r="D511" s="290"/>
      <c r="E511" s="290"/>
      <c r="F511" s="292"/>
    </row>
    <row r="512" spans="1:15" x14ac:dyDescent="0.2">
      <c r="B512" s="290"/>
      <c r="C512" s="290"/>
      <c r="D512" s="293"/>
      <c r="E512" s="290"/>
      <c r="F512" s="292"/>
    </row>
    <row r="513" spans="2:6" x14ac:dyDescent="0.2">
      <c r="B513" s="293"/>
      <c r="C513" s="290"/>
      <c r="D513" s="290"/>
      <c r="E513" s="290"/>
      <c r="F513" s="292"/>
    </row>
    <row r="514" spans="2:6" x14ac:dyDescent="0.2">
      <c r="B514" s="290"/>
      <c r="C514" s="290"/>
      <c r="D514" s="290"/>
      <c r="E514" s="290"/>
      <c r="F514" s="292"/>
    </row>
    <row r="515" spans="2:6" x14ac:dyDescent="0.2">
      <c r="B515" s="290"/>
      <c r="C515" s="290"/>
      <c r="D515" s="290"/>
      <c r="E515" s="290"/>
      <c r="F515" s="292"/>
    </row>
    <row r="516" spans="2:6" x14ac:dyDescent="0.2">
      <c r="B516" s="290"/>
      <c r="C516" s="290"/>
      <c r="D516" s="290"/>
      <c r="E516" s="290"/>
      <c r="F516" s="292"/>
    </row>
    <row r="517" spans="2:6" x14ac:dyDescent="0.2">
      <c r="B517" s="290"/>
      <c r="C517" s="290"/>
      <c r="D517" s="290"/>
      <c r="E517" s="290"/>
      <c r="F517" s="292"/>
    </row>
    <row r="518" spans="2:6" x14ac:dyDescent="0.2">
      <c r="B518" s="290"/>
      <c r="C518" s="290"/>
      <c r="D518" s="290"/>
      <c r="E518" s="290"/>
      <c r="F518" s="292"/>
    </row>
    <row r="519" spans="2:6" x14ac:dyDescent="0.2">
      <c r="B519" s="290"/>
      <c r="C519" s="290"/>
      <c r="D519" s="290"/>
      <c r="E519" s="290"/>
      <c r="F519" s="292"/>
    </row>
    <row r="520" spans="2:6" x14ac:dyDescent="0.2">
      <c r="B520" s="290"/>
      <c r="C520" s="290"/>
      <c r="D520" s="290"/>
      <c r="E520" s="290"/>
      <c r="F520" s="292"/>
    </row>
    <row r="521" spans="2:6" x14ac:dyDescent="0.2">
      <c r="B521" s="290"/>
      <c r="C521" s="290"/>
      <c r="D521" s="290"/>
      <c r="E521" s="290"/>
      <c r="F521" s="292"/>
    </row>
    <row r="522" spans="2:6" x14ac:dyDescent="0.2">
      <c r="B522" s="290"/>
      <c r="C522" s="290"/>
      <c r="D522" s="290"/>
      <c r="E522" s="290"/>
      <c r="F522" s="292"/>
    </row>
  </sheetData>
  <mergeCells count="316">
    <mergeCell ref="B109:E109"/>
    <mergeCell ref="B114:E114"/>
    <mergeCell ref="B105:E105"/>
    <mergeCell ref="B106:E106"/>
    <mergeCell ref="B111:E111"/>
    <mergeCell ref="B108:E108"/>
    <mergeCell ref="B110:E110"/>
    <mergeCell ref="B112:E112"/>
    <mergeCell ref="A365:A366"/>
    <mergeCell ref="B107:E107"/>
    <mergeCell ref="B186:E186"/>
    <mergeCell ref="A206:E206"/>
    <mergeCell ref="B119:F119"/>
    <mergeCell ref="B121:E121"/>
    <mergeCell ref="A123:E123"/>
    <mergeCell ref="A124:F124"/>
    <mergeCell ref="A125:A126"/>
    <mergeCell ref="B125:B126"/>
    <mergeCell ref="C125:F125"/>
    <mergeCell ref="C126:E126"/>
    <mergeCell ref="A131:A133"/>
    <mergeCell ref="A134:A135"/>
    <mergeCell ref="B135:E135"/>
    <mergeCell ref="A104:A114"/>
    <mergeCell ref="A81:A88"/>
    <mergeCell ref="A37:A40"/>
    <mergeCell ref="A41:A45"/>
    <mergeCell ref="A46:A49"/>
    <mergeCell ref="A50:A51"/>
    <mergeCell ref="B45:E45"/>
    <mergeCell ref="A56:A59"/>
    <mergeCell ref="B59:E59"/>
    <mergeCell ref="B49:E49"/>
    <mergeCell ref="B51:E51"/>
    <mergeCell ref="B55:E55"/>
    <mergeCell ref="A75:A80"/>
    <mergeCell ref="G179:J179"/>
    <mergeCell ref="A243:F243"/>
    <mergeCell ref="A244:A245"/>
    <mergeCell ref="B244:B245"/>
    <mergeCell ref="C244:F244"/>
    <mergeCell ref="C245:E245"/>
    <mergeCell ref="B179:F179"/>
    <mergeCell ref="B190:E190"/>
    <mergeCell ref="B191:E191"/>
    <mergeCell ref="B187:E187"/>
    <mergeCell ref="B188:E188"/>
    <mergeCell ref="B185:E185"/>
    <mergeCell ref="B189:E189"/>
    <mergeCell ref="A185:A191"/>
    <mergeCell ref="A192:E192"/>
    <mergeCell ref="A193:F193"/>
    <mergeCell ref="A194:A195"/>
    <mergeCell ref="B194:B195"/>
    <mergeCell ref="C194:F194"/>
    <mergeCell ref="A208:A209"/>
    <mergeCell ref="B208:B209"/>
    <mergeCell ref="C208:F208"/>
    <mergeCell ref="C209:E209"/>
    <mergeCell ref="A216:E216"/>
    <mergeCell ref="B104:E104"/>
    <mergeCell ref="A11:A14"/>
    <mergeCell ref="B11:F11"/>
    <mergeCell ref="B14:E14"/>
    <mergeCell ref="B15:F15"/>
    <mergeCell ref="B25:E25"/>
    <mergeCell ref="A26:A31"/>
    <mergeCell ref="B26:F26"/>
    <mergeCell ref="B31:E31"/>
    <mergeCell ref="A33:A36"/>
    <mergeCell ref="B36:E36"/>
    <mergeCell ref="B32:E32"/>
    <mergeCell ref="B40:E40"/>
    <mergeCell ref="B80:E80"/>
    <mergeCell ref="B90:E90"/>
    <mergeCell ref="B63:E63"/>
    <mergeCell ref="B74:E74"/>
    <mergeCell ref="B93:F93"/>
    <mergeCell ref="B98:E98"/>
    <mergeCell ref="A100:A102"/>
    <mergeCell ref="B100:F100"/>
    <mergeCell ref="B102:E102"/>
    <mergeCell ref="A60:A63"/>
    <mergeCell ref="A64:A74"/>
    <mergeCell ref="E1:F1"/>
    <mergeCell ref="A3:F3"/>
    <mergeCell ref="A4:F4"/>
    <mergeCell ref="A6:F6"/>
    <mergeCell ref="A8:F8"/>
    <mergeCell ref="A9:A10"/>
    <mergeCell ref="B9:B10"/>
    <mergeCell ref="C9:F9"/>
    <mergeCell ref="C10:E10"/>
    <mergeCell ref="A141:E141"/>
    <mergeCell ref="A142:F142"/>
    <mergeCell ref="A143:A144"/>
    <mergeCell ref="B143:B144"/>
    <mergeCell ref="C143:F143"/>
    <mergeCell ref="C144:E144"/>
    <mergeCell ref="A156:E156"/>
    <mergeCell ref="B139:E139"/>
    <mergeCell ref="B140:E140"/>
    <mergeCell ref="A157:F157"/>
    <mergeCell ref="A158:A159"/>
    <mergeCell ref="B158:B159"/>
    <mergeCell ref="C158:F158"/>
    <mergeCell ref="C159:E159"/>
    <mergeCell ref="A165:A166"/>
    <mergeCell ref="B166:E166"/>
    <mergeCell ref="B164:E164"/>
    <mergeCell ref="B160:E160"/>
    <mergeCell ref="A218:A219"/>
    <mergeCell ref="B224:E224"/>
    <mergeCell ref="B173:E173"/>
    <mergeCell ref="B174:E174"/>
    <mergeCell ref="B181:E181"/>
    <mergeCell ref="B183:E183"/>
    <mergeCell ref="B182:E182"/>
    <mergeCell ref="B180:F180"/>
    <mergeCell ref="A181:A182"/>
    <mergeCell ref="A217:F217"/>
    <mergeCell ref="A207:F207"/>
    <mergeCell ref="C195:E195"/>
    <mergeCell ref="B218:B219"/>
    <mergeCell ref="C218:F218"/>
    <mergeCell ref="C219:E219"/>
    <mergeCell ref="F181:F182"/>
    <mergeCell ref="A229:A232"/>
    <mergeCell ref="B229:F229"/>
    <mergeCell ref="B220:E220"/>
    <mergeCell ref="I229:J229"/>
    <mergeCell ref="B232:E232"/>
    <mergeCell ref="A234:E234"/>
    <mergeCell ref="A235:F235"/>
    <mergeCell ref="A236:A237"/>
    <mergeCell ref="B236:B237"/>
    <mergeCell ref="C236:F236"/>
    <mergeCell ref="C237:E237"/>
    <mergeCell ref="A221:A224"/>
    <mergeCell ref="B225:E225"/>
    <mergeCell ref="A242:E242"/>
    <mergeCell ref="A252:F252"/>
    <mergeCell ref="A253:A254"/>
    <mergeCell ref="B253:B254"/>
    <mergeCell ref="C253:F253"/>
    <mergeCell ref="C254:E254"/>
    <mergeCell ref="A251:E251"/>
    <mergeCell ref="A259:E259"/>
    <mergeCell ref="A260:F260"/>
    <mergeCell ref="A261:A262"/>
    <mergeCell ref="B261:B262"/>
    <mergeCell ref="C261:F261"/>
    <mergeCell ref="C262:E262"/>
    <mergeCell ref="B263:F263"/>
    <mergeCell ref="B266:E266"/>
    <mergeCell ref="A290:A293"/>
    <mergeCell ref="A288:A289"/>
    <mergeCell ref="A282:A287"/>
    <mergeCell ref="A278:A280"/>
    <mergeCell ref="A271:A274"/>
    <mergeCell ref="A263:A266"/>
    <mergeCell ref="B320:E320"/>
    <mergeCell ref="A336:A339"/>
    <mergeCell ref="B336:F336"/>
    <mergeCell ref="B339:E339"/>
    <mergeCell ref="A349:A351"/>
    <mergeCell ref="B335:E335"/>
    <mergeCell ref="B307:F307"/>
    <mergeCell ref="B309:E309"/>
    <mergeCell ref="A314:E314"/>
    <mergeCell ref="A315:F315"/>
    <mergeCell ref="A316:A317"/>
    <mergeCell ref="B316:B317"/>
    <mergeCell ref="C316:F316"/>
    <mergeCell ref="C317:E317"/>
    <mergeCell ref="B332:E332"/>
    <mergeCell ref="B321:E321"/>
    <mergeCell ref="B329:E329"/>
    <mergeCell ref="B324:E324"/>
    <mergeCell ref="B325:E325"/>
    <mergeCell ref="B326:E326"/>
    <mergeCell ref="B327:E327"/>
    <mergeCell ref="B328:E328"/>
    <mergeCell ref="B356:E356"/>
    <mergeCell ref="A369:A370"/>
    <mergeCell ref="B369:B370"/>
    <mergeCell ref="C369:F369"/>
    <mergeCell ref="C370:E370"/>
    <mergeCell ref="A379:E379"/>
    <mergeCell ref="C385:E385"/>
    <mergeCell ref="C386:E386"/>
    <mergeCell ref="C388:E388"/>
    <mergeCell ref="A361:E361"/>
    <mergeCell ref="A368:F368"/>
    <mergeCell ref="A362:F362"/>
    <mergeCell ref="A363:A364"/>
    <mergeCell ref="B363:B364"/>
    <mergeCell ref="C363:F363"/>
    <mergeCell ref="C364:E364"/>
    <mergeCell ref="A367:E367"/>
    <mergeCell ref="B359:E359"/>
    <mergeCell ref="A380:F380"/>
    <mergeCell ref="A381:A382"/>
    <mergeCell ref="B381:B382"/>
    <mergeCell ref="C381:F381"/>
    <mergeCell ref="C382:E382"/>
    <mergeCell ref="A383:A401"/>
    <mergeCell ref="C389:E389"/>
    <mergeCell ref="C390:E390"/>
    <mergeCell ref="C391:E391"/>
    <mergeCell ref="C392:E392"/>
    <mergeCell ref="C393:E393"/>
    <mergeCell ref="C394:E394"/>
    <mergeCell ref="C395:E395"/>
    <mergeCell ref="B421:B422"/>
    <mergeCell ref="C383:E383"/>
    <mergeCell ref="B384:B401"/>
    <mergeCell ref="C384:E384"/>
    <mergeCell ref="C396:E396"/>
    <mergeCell ref="C397:E397"/>
    <mergeCell ref="C398:E398"/>
    <mergeCell ref="C399:E399"/>
    <mergeCell ref="C400:E400"/>
    <mergeCell ref="C401:E401"/>
    <mergeCell ref="C387:E387"/>
    <mergeCell ref="A402:E402"/>
    <mergeCell ref="A403:F403"/>
    <mergeCell ref="B416:E416"/>
    <mergeCell ref="B412:E412"/>
    <mergeCell ref="C455:E455"/>
    <mergeCell ref="C456:E456"/>
    <mergeCell ref="C457:E457"/>
    <mergeCell ref="A458:E458"/>
    <mergeCell ref="C466:E466"/>
    <mergeCell ref="C404:F404"/>
    <mergeCell ref="C405:E405"/>
    <mergeCell ref="B406:F406"/>
    <mergeCell ref="B411:E411"/>
    <mergeCell ref="B425:E425"/>
    <mergeCell ref="A421:A422"/>
    <mergeCell ref="A463:E463"/>
    <mergeCell ref="A464:F464"/>
    <mergeCell ref="A465:A466"/>
    <mergeCell ref="B465:B466"/>
    <mergeCell ref="C465:F465"/>
    <mergeCell ref="A404:A405"/>
    <mergeCell ref="B404:B405"/>
    <mergeCell ref="C461:E461"/>
    <mergeCell ref="C462:E462"/>
    <mergeCell ref="A453:F453"/>
    <mergeCell ref="A454:A455"/>
    <mergeCell ref="B454:B455"/>
    <mergeCell ref="C454:F454"/>
    <mergeCell ref="B508:D508"/>
    <mergeCell ref="A485:A486"/>
    <mergeCell ref="B485:B486"/>
    <mergeCell ref="C485:F485"/>
    <mergeCell ref="C486:E486"/>
    <mergeCell ref="A491:A492"/>
    <mergeCell ref="A499:E499"/>
    <mergeCell ref="B426:F426"/>
    <mergeCell ref="B431:E431"/>
    <mergeCell ref="A447:E447"/>
    <mergeCell ref="A448:F448"/>
    <mergeCell ref="A449:A450"/>
    <mergeCell ref="B449:B450"/>
    <mergeCell ref="C449:F449"/>
    <mergeCell ref="C450:E450"/>
    <mergeCell ref="C451:E451"/>
    <mergeCell ref="B434:E434"/>
    <mergeCell ref="B438:E438"/>
    <mergeCell ref="B441:E441"/>
    <mergeCell ref="A452:E452"/>
    <mergeCell ref="A459:F459"/>
    <mergeCell ref="A460:A461"/>
    <mergeCell ref="B460:B461"/>
    <mergeCell ref="C460:F460"/>
    <mergeCell ref="A503:E503"/>
    <mergeCell ref="M503:N503"/>
    <mergeCell ref="A469:E469"/>
    <mergeCell ref="A470:F470"/>
    <mergeCell ref="A471:A472"/>
    <mergeCell ref="B471:B472"/>
    <mergeCell ref="C471:F471"/>
    <mergeCell ref="C472:E472"/>
    <mergeCell ref="C482:E482"/>
    <mergeCell ref="A483:E483"/>
    <mergeCell ref="A484:F484"/>
    <mergeCell ref="M499:N499"/>
    <mergeCell ref="M500:N500"/>
    <mergeCell ref="H485:I485"/>
    <mergeCell ref="M501:N501"/>
    <mergeCell ref="M502:N502"/>
    <mergeCell ref="B115:E115"/>
    <mergeCell ref="B116:E116"/>
    <mergeCell ref="B117:E117"/>
    <mergeCell ref="B118:E118"/>
    <mergeCell ref="B122:E122"/>
    <mergeCell ref="B127:E127"/>
    <mergeCell ref="B130:E130"/>
    <mergeCell ref="B137:E137"/>
    <mergeCell ref="B138:E138"/>
    <mergeCell ref="B131:F131"/>
    <mergeCell ref="B133:E133"/>
    <mergeCell ref="A169:E169"/>
    <mergeCell ref="A170:F170"/>
    <mergeCell ref="A171:A172"/>
    <mergeCell ref="B171:B172"/>
    <mergeCell ref="C171:F171"/>
    <mergeCell ref="C172:E172"/>
    <mergeCell ref="A175:E175"/>
    <mergeCell ref="A176:F176"/>
    <mergeCell ref="A177:A178"/>
    <mergeCell ref="B177:B178"/>
    <mergeCell ref="C177:F177"/>
    <mergeCell ref="C178:E178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80" firstPageNumber="0" orientation="portrait" verticalDpi="300" r:id="rId1"/>
  <headerFooter>
    <oddHeader>&amp;R2020.01.hó</oddHeader>
  </headerFooter>
  <rowBreaks count="6" manualBreakCount="6">
    <brk id="123" max="16383" man="1"/>
    <brk id="192" max="16383" man="1"/>
    <brk id="259" max="16383" man="1"/>
    <brk id="314" max="16383" man="1"/>
    <brk id="379" max="16383" man="1"/>
    <brk id="44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00"/>
    <pageSetUpPr fitToPage="1"/>
  </sheetPr>
  <dimension ref="A1:K42"/>
  <sheetViews>
    <sheetView topLeftCell="A4" zoomScaleNormal="100" workbookViewId="0">
      <selection activeCell="F7" sqref="F7"/>
    </sheetView>
  </sheetViews>
  <sheetFormatPr defaultRowHeight="12.75" x14ac:dyDescent="0.2"/>
  <cols>
    <col min="1" max="1" width="12.28515625" customWidth="1"/>
    <col min="2" max="2" width="32.42578125" customWidth="1"/>
    <col min="3" max="3" width="14.42578125" customWidth="1"/>
    <col min="4" max="4" width="11.5703125" customWidth="1"/>
    <col min="5" max="6" width="16" style="79" customWidth="1"/>
    <col min="7" max="7" width="15.140625" customWidth="1"/>
    <col min="8" max="10" width="15" bestFit="1" customWidth="1"/>
    <col min="11" max="11" width="15.85546875" customWidth="1"/>
    <col min="12" max="1024" width="8.42578125" customWidth="1"/>
  </cols>
  <sheetData>
    <row r="1" spans="1:11" x14ac:dyDescent="0.2">
      <c r="E1" s="48"/>
      <c r="F1" s="48"/>
      <c r="G1" s="48"/>
      <c r="H1" s="48"/>
      <c r="I1" s="179"/>
      <c r="J1" s="179"/>
    </row>
    <row r="2" spans="1:11" ht="15.75" x14ac:dyDescent="0.25">
      <c r="A2" s="782" t="s">
        <v>615</v>
      </c>
      <c r="B2" s="782"/>
      <c r="C2" s="782"/>
      <c r="D2" s="782"/>
      <c r="E2" s="782"/>
      <c r="F2" s="782"/>
      <c r="G2" s="782"/>
      <c r="H2" s="782"/>
      <c r="I2" s="782"/>
      <c r="J2" s="782"/>
      <c r="K2" s="782"/>
    </row>
    <row r="3" spans="1:11" ht="15.75" x14ac:dyDescent="0.25">
      <c r="A3" s="782" t="s">
        <v>390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</row>
    <row r="4" spans="1:11" ht="18.75" customHeight="1" x14ac:dyDescent="0.2">
      <c r="A4" s="947" t="s">
        <v>365</v>
      </c>
      <c r="B4" s="947"/>
      <c r="C4" s="947"/>
      <c r="D4" s="947"/>
      <c r="E4" s="947"/>
      <c r="F4" s="947"/>
      <c r="G4" s="947"/>
      <c r="H4" s="947"/>
      <c r="I4" s="947"/>
      <c r="J4" s="947"/>
      <c r="K4" s="947"/>
    </row>
    <row r="5" spans="1:11" ht="16.5" thickBot="1" x14ac:dyDescent="0.3">
      <c r="A5" s="49"/>
      <c r="B5" s="49"/>
      <c r="C5" s="49"/>
      <c r="D5" s="49"/>
      <c r="E5" s="49"/>
      <c r="F5" s="49"/>
      <c r="K5" s="50" t="s">
        <v>1</v>
      </c>
    </row>
    <row r="6" spans="1:11" ht="13.5" thickBot="1" x14ac:dyDescent="0.25">
      <c r="A6" s="948" t="s">
        <v>366</v>
      </c>
      <c r="B6" s="948"/>
      <c r="C6" s="948"/>
      <c r="D6" s="948"/>
      <c r="E6" s="948"/>
      <c r="F6" s="948" t="s">
        <v>367</v>
      </c>
      <c r="G6" s="817"/>
      <c r="H6" s="951" t="s">
        <v>368</v>
      </c>
      <c r="I6" s="952"/>
      <c r="J6" s="949" t="s">
        <v>369</v>
      </c>
      <c r="K6" s="950"/>
    </row>
    <row r="7" spans="1:11" ht="13.5" thickBot="1" x14ac:dyDescent="0.25">
      <c r="A7" s="948"/>
      <c r="B7" s="948"/>
      <c r="C7" s="948"/>
      <c r="D7" s="948"/>
      <c r="E7" s="948"/>
      <c r="F7" s="495" t="s">
        <v>610</v>
      </c>
      <c r="G7" s="496" t="s">
        <v>630</v>
      </c>
      <c r="H7" s="495" t="s">
        <v>610</v>
      </c>
      <c r="I7" s="496" t="s">
        <v>630</v>
      </c>
      <c r="J7" s="495" t="s">
        <v>610</v>
      </c>
      <c r="K7" s="496" t="s">
        <v>630</v>
      </c>
    </row>
    <row r="8" spans="1:11" ht="24.95" customHeight="1" x14ac:dyDescent="0.2">
      <c r="A8" s="946" t="s">
        <v>115</v>
      </c>
      <c r="B8" s="946"/>
      <c r="C8" s="946"/>
      <c r="D8" s="946"/>
      <c r="E8" s="946"/>
      <c r="F8" s="261">
        <f>SUM('Kiadások COFOG szerint'!C17)</f>
        <v>22881820</v>
      </c>
      <c r="G8" s="20">
        <f>SUM('Kiadások COFOG szerint'!F17)</f>
        <v>23360000</v>
      </c>
      <c r="H8" s="262">
        <f>SUM('Kiadások COFOG szerint'!C19)</f>
        <v>3100000</v>
      </c>
      <c r="I8" s="263">
        <f>SUM('Kiadások COFOG szerint'!F19)</f>
        <v>3100000</v>
      </c>
      <c r="J8" s="261">
        <f>SUM('Kiadások COFOG szerint'!C38)</f>
        <v>25112800</v>
      </c>
      <c r="K8" s="20">
        <f>SUM('Kiadások COFOG szerint'!F38)</f>
        <v>28524000</v>
      </c>
    </row>
    <row r="9" spans="1:11" ht="24.95" customHeight="1" x14ac:dyDescent="0.2">
      <c r="A9" s="942" t="s">
        <v>121</v>
      </c>
      <c r="B9" s="942"/>
      <c r="C9" s="942"/>
      <c r="D9" s="942"/>
      <c r="E9" s="942"/>
      <c r="F9" s="261">
        <v>0</v>
      </c>
      <c r="G9" s="20">
        <v>0</v>
      </c>
      <c r="H9" s="262">
        <v>0</v>
      </c>
      <c r="I9" s="263">
        <v>0</v>
      </c>
      <c r="J9" s="261">
        <f>SUM('Kiadások COFOG szerint'!C60:C66)</f>
        <v>1080000</v>
      </c>
      <c r="K9" s="20">
        <f>SUM('Kiadások COFOG szerint'!F60:F66)</f>
        <v>952500</v>
      </c>
    </row>
    <row r="10" spans="1:11" ht="24.95" customHeight="1" x14ac:dyDescent="0.2">
      <c r="A10" s="942" t="s">
        <v>494</v>
      </c>
      <c r="B10" s="942"/>
      <c r="C10" s="942"/>
      <c r="D10" s="942"/>
      <c r="E10" s="942"/>
      <c r="F10" s="261">
        <v>0</v>
      </c>
      <c r="G10" s="20">
        <v>0</v>
      </c>
      <c r="H10" s="262"/>
      <c r="I10" s="263">
        <v>0</v>
      </c>
      <c r="J10" s="261">
        <f>SUM('Kiadások COFOG szerint'!C75:C82)</f>
        <v>4064000</v>
      </c>
      <c r="K10" s="20">
        <f>SUM('Kiadások COFOG szerint'!F77:F82)</f>
        <v>1884440</v>
      </c>
    </row>
    <row r="11" spans="1:11" ht="24.95" customHeight="1" x14ac:dyDescent="0.2">
      <c r="A11" s="942" t="s">
        <v>283</v>
      </c>
      <c r="B11" s="942"/>
      <c r="C11" s="942"/>
      <c r="D11" s="942"/>
      <c r="E11" s="942"/>
      <c r="F11" s="261">
        <f>'Kiadások COFOG szerint'!C90</f>
        <v>300000</v>
      </c>
      <c r="G11" s="20">
        <f>SUM('Kiadások COFOG szerint'!F90)</f>
        <v>300000</v>
      </c>
      <c r="H11" s="262">
        <v>0</v>
      </c>
      <c r="I11" s="263">
        <v>0</v>
      </c>
      <c r="J11" s="261">
        <f>SUM('Kiadások COFOG szerint'!C92:C96)</f>
        <v>1833000</v>
      </c>
      <c r="K11" s="20">
        <f>SUM('Kiadások COFOG szerint'!F92:F96)</f>
        <v>4272000</v>
      </c>
    </row>
    <row r="12" spans="1:11" ht="24.95" customHeight="1" x14ac:dyDescent="0.2">
      <c r="A12" s="942" t="s">
        <v>495</v>
      </c>
      <c r="B12" s="942"/>
      <c r="C12" s="942"/>
      <c r="D12" s="942"/>
      <c r="E12" s="942"/>
      <c r="F12" s="261">
        <f>SUM('Kiadások COFOG szerint'!C113)</f>
        <v>4740000</v>
      </c>
      <c r="G12" s="20">
        <f>SUM('Kiadások COFOG szerint'!F113)</f>
        <v>3904350</v>
      </c>
      <c r="H12" s="262">
        <f>SUM('Kiadások COFOG szerint'!C114)</f>
        <v>312000</v>
      </c>
      <c r="I12" s="263">
        <f>'Kiadások COFOG szerint'!F114</f>
        <v>270000</v>
      </c>
      <c r="J12" s="261">
        <f>SUM('Kiadások COFOG szerint'!C115:C116)</f>
        <v>0</v>
      </c>
      <c r="K12" s="20">
        <f>SUM('Kiadások COFOG szerint'!F115:F116)</f>
        <v>0</v>
      </c>
    </row>
    <row r="13" spans="1:11" ht="24.95" customHeight="1" x14ac:dyDescent="0.2">
      <c r="A13" s="942" t="s">
        <v>496</v>
      </c>
      <c r="B13" s="942"/>
      <c r="C13" s="942"/>
      <c r="D13" s="942"/>
      <c r="E13" s="942"/>
      <c r="F13" s="261">
        <f>SUM('Kiadások COFOG szerint'!C123:C124)</f>
        <v>0</v>
      </c>
      <c r="G13" s="20">
        <f>SUM('Kiadások COFOG szerint'!F123:F124)</f>
        <v>0</v>
      </c>
      <c r="H13" s="262">
        <f>SUM('Kiadások COFOG szerint'!C125)</f>
        <v>0</v>
      </c>
      <c r="I13" s="263">
        <f>'Kiadások COFOG szerint'!F125</f>
        <v>0</v>
      </c>
      <c r="J13" s="261">
        <f>SUM('Kiadások COFOG szerint'!C126:C127)</f>
        <v>0</v>
      </c>
      <c r="K13" s="20">
        <f>'Kiadások COFOG szerint'!F126+'Kiadások COFOG szerint'!F127</f>
        <v>0</v>
      </c>
    </row>
    <row r="14" spans="1:11" ht="24.95" customHeight="1" x14ac:dyDescent="0.2">
      <c r="A14" s="942" t="s">
        <v>285</v>
      </c>
      <c r="B14" s="942"/>
      <c r="C14" s="942"/>
      <c r="D14" s="942"/>
      <c r="E14" s="942"/>
      <c r="F14" s="261">
        <v>0</v>
      </c>
      <c r="G14" s="20">
        <v>0</v>
      </c>
      <c r="H14" s="262">
        <v>0</v>
      </c>
      <c r="I14" s="263">
        <v>0</v>
      </c>
      <c r="J14" s="261">
        <f>SUM('Kiadások COFOG szerint'!C132:C136)</f>
        <v>5630000</v>
      </c>
      <c r="K14" s="20">
        <f>'Kiadások COFOG szerint'!F132+'Kiadások COFOG szerint'!F133+'Kiadások COFOG szerint'!F134+'Kiadások COFOG szerint'!F136</f>
        <v>7030000</v>
      </c>
    </row>
    <row r="15" spans="1:11" ht="24.95" customHeight="1" x14ac:dyDescent="0.2">
      <c r="A15" s="942" t="s">
        <v>134</v>
      </c>
      <c r="B15" s="942"/>
      <c r="C15" s="942"/>
      <c r="D15" s="942"/>
      <c r="E15" s="942"/>
      <c r="F15" s="261">
        <v>0</v>
      </c>
      <c r="G15" s="20">
        <v>0</v>
      </c>
      <c r="H15" s="262"/>
      <c r="I15" s="263">
        <v>0</v>
      </c>
      <c r="J15" s="261"/>
      <c r="K15" s="20">
        <v>0</v>
      </c>
    </row>
    <row r="16" spans="1:11" ht="24.95" customHeight="1" x14ac:dyDescent="0.2">
      <c r="A16" s="942" t="s">
        <v>286</v>
      </c>
      <c r="B16" s="942"/>
      <c r="C16" s="942"/>
      <c r="D16" s="942"/>
      <c r="E16" s="942"/>
      <c r="F16" s="261">
        <v>0</v>
      </c>
      <c r="G16" s="20">
        <v>0</v>
      </c>
      <c r="H16" s="262">
        <v>0</v>
      </c>
      <c r="I16" s="263">
        <v>0</v>
      </c>
      <c r="J16" s="261">
        <f>SUM('Kiadások COFOG szerint'!C157:C160)</f>
        <v>6870000</v>
      </c>
      <c r="K16" s="20">
        <f>'Kiadások COFOG szerint'!F161</f>
        <v>9840000</v>
      </c>
    </row>
    <row r="17" spans="1:11" ht="24.95" customHeight="1" x14ac:dyDescent="0.2">
      <c r="A17" s="942" t="s">
        <v>287</v>
      </c>
      <c r="B17" s="942"/>
      <c r="C17" s="942"/>
      <c r="D17" s="942"/>
      <c r="E17" s="942"/>
      <c r="F17" s="261">
        <f>SUM('Kiadások COFOG szerint'!C165:C169)</f>
        <v>3732000</v>
      </c>
      <c r="G17" s="20">
        <f>SUM('Kiadások COFOG szerint'!F165:F169)</f>
        <v>4060000</v>
      </c>
      <c r="H17" s="262">
        <f>'Kiadások COFOG szerint'!C170</f>
        <v>820000</v>
      </c>
      <c r="I17" s="263">
        <f>'Kiadások COFOG szerint'!F170</f>
        <v>900000</v>
      </c>
      <c r="J17" s="261">
        <f>SUM('Kiadások COFOG szerint'!C172:C181)</f>
        <v>7315600</v>
      </c>
      <c r="K17" s="20">
        <f>SUM('Kiadások COFOG szerint'!F172:F181)</f>
        <v>8060600</v>
      </c>
    </row>
    <row r="18" spans="1:11" ht="24.95" customHeight="1" x14ac:dyDescent="0.2">
      <c r="A18" s="942" t="s">
        <v>135</v>
      </c>
      <c r="B18" s="942"/>
      <c r="C18" s="942"/>
      <c r="D18" s="942"/>
      <c r="E18" s="942"/>
      <c r="F18" s="261">
        <f>SUM('Kiadások COFOG szerint'!C191:C199)</f>
        <v>9240000</v>
      </c>
      <c r="G18" s="20">
        <f>SUM('Kiadások COFOG szerint'!F191:F199)</f>
        <v>6140000</v>
      </c>
      <c r="H18" s="262">
        <f>SUM('Kiadások COFOG szerint'!C200:C200)</f>
        <v>1300000</v>
      </c>
      <c r="I18" s="263">
        <f>SUM('Kiadások COFOG szerint'!F200:F200)</f>
        <v>815000</v>
      </c>
      <c r="J18" s="261">
        <f>SUM('Kiadások COFOG szerint'!C201:C209)</f>
        <v>799400</v>
      </c>
      <c r="K18" s="20">
        <f>SUM('Kiadások COFOG szerint'!F201:F209)</f>
        <v>629300</v>
      </c>
    </row>
    <row r="19" spans="1:11" ht="24.95" customHeight="1" x14ac:dyDescent="0.2">
      <c r="A19" s="942" t="s">
        <v>429</v>
      </c>
      <c r="B19" s="942"/>
      <c r="C19" s="942"/>
      <c r="D19" s="942"/>
      <c r="E19" s="942"/>
      <c r="F19" s="261">
        <v>0</v>
      </c>
      <c r="G19" s="20">
        <v>0</v>
      </c>
      <c r="H19" s="262">
        <v>0</v>
      </c>
      <c r="I19" s="263">
        <v>0</v>
      </c>
      <c r="J19" s="261">
        <f>SUM('Kiadások COFOG szerint'!C218)</f>
        <v>96000</v>
      </c>
      <c r="K19" s="20">
        <f>SUM('Kiadások COFOG szerint'!F218)</f>
        <v>128400</v>
      </c>
    </row>
    <row r="20" spans="1:11" ht="24.95" customHeight="1" x14ac:dyDescent="0.2">
      <c r="A20" s="942" t="s">
        <v>432</v>
      </c>
      <c r="B20" s="942"/>
      <c r="C20" s="942"/>
      <c r="D20" s="942"/>
      <c r="E20" s="942"/>
      <c r="F20" s="261">
        <f>SUM('Kiadások COFOG szerint'!C229)</f>
        <v>0</v>
      </c>
      <c r="G20" s="20">
        <f>'Kiadások COFOG szerint'!F229</f>
        <v>0</v>
      </c>
      <c r="H20" s="262">
        <f>SUM('Kiadások COFOG szerint'!C230)</f>
        <v>0</v>
      </c>
      <c r="I20" s="263">
        <f>'Kiadások COFOG szerint'!F230</f>
        <v>0</v>
      </c>
      <c r="J20" s="261">
        <f>SUM('Kiadások COFOG szerint'!C232:C234)</f>
        <v>0</v>
      </c>
      <c r="K20" s="20">
        <f>SUM('Kiadások COFOG szerint'!F232:F234)</f>
        <v>0</v>
      </c>
    </row>
    <row r="21" spans="1:11" ht="24.95" customHeight="1" x14ac:dyDescent="0.2">
      <c r="A21" s="942" t="s">
        <v>137</v>
      </c>
      <c r="B21" s="942"/>
      <c r="C21" s="942"/>
      <c r="D21" s="942"/>
      <c r="E21" s="942"/>
      <c r="F21" s="261">
        <f>SUM('Kiadások COFOG szerint'!C246:C249)</f>
        <v>6162000</v>
      </c>
      <c r="G21" s="20">
        <f>SUM('Kiadások COFOG szerint'!F246:F249)</f>
        <v>7210000</v>
      </c>
      <c r="H21" s="262">
        <f>SUM('Kiadások COFOG szerint'!C250)</f>
        <v>880000</v>
      </c>
      <c r="I21" s="263">
        <f>'Kiadások COFOG szerint'!F250</f>
        <v>1100000</v>
      </c>
      <c r="J21" s="261">
        <f>SUM('Kiadások COFOG szerint'!C251:C257)</f>
        <v>14510000</v>
      </c>
      <c r="K21" s="20">
        <f>SUM('Kiadások COFOG szerint'!F251:F257)</f>
        <v>25285000</v>
      </c>
    </row>
    <row r="22" spans="1:11" ht="24.95" customHeight="1" x14ac:dyDescent="0.2">
      <c r="A22" s="942" t="s">
        <v>452</v>
      </c>
      <c r="B22" s="942"/>
      <c r="C22" s="942"/>
      <c r="D22" s="942"/>
      <c r="E22" s="942"/>
      <c r="F22" s="261">
        <v>0</v>
      </c>
      <c r="G22" s="20">
        <v>0</v>
      </c>
      <c r="H22" s="262">
        <v>0</v>
      </c>
      <c r="I22" s="263">
        <v>0</v>
      </c>
      <c r="J22" s="261">
        <f>SUM('Kiadások COFOG szerint'!C276)</f>
        <v>1651000</v>
      </c>
      <c r="K22" s="20">
        <f>'Kiadások COFOG szerint'!F276</f>
        <v>2286000</v>
      </c>
    </row>
    <row r="23" spans="1:11" ht="24.95" customHeight="1" x14ac:dyDescent="0.2">
      <c r="A23" s="942" t="s">
        <v>299</v>
      </c>
      <c r="B23" s="942"/>
      <c r="C23" s="942"/>
      <c r="D23" s="942"/>
      <c r="E23" s="942"/>
      <c r="F23" s="261">
        <v>0</v>
      </c>
      <c r="G23" s="20">
        <v>0</v>
      </c>
      <c r="H23" s="262">
        <v>0</v>
      </c>
      <c r="I23" s="263">
        <v>0</v>
      </c>
      <c r="J23" s="261">
        <v>0</v>
      </c>
      <c r="K23" s="20">
        <f>'Kiadások COFOG szerint'!F282</f>
        <v>0</v>
      </c>
    </row>
    <row r="24" spans="1:11" ht="24.95" customHeight="1" x14ac:dyDescent="0.2">
      <c r="A24" s="942" t="s">
        <v>497</v>
      </c>
      <c r="B24" s="942"/>
      <c r="C24" s="942"/>
      <c r="D24" s="942"/>
      <c r="E24" s="942"/>
      <c r="F24" s="261">
        <f>SUM('Kiadások COFOG szerint'!C291:C293)</f>
        <v>62000</v>
      </c>
      <c r="G24" s="20">
        <f>SUM('Kiadások COFOG szerint'!F291:F293)</f>
        <v>0</v>
      </c>
      <c r="H24" s="262">
        <f>SUM('Kiadások COFOG szerint'!C295)</f>
        <v>300000</v>
      </c>
      <c r="I24" s="263">
        <f>SUM('Kiadások COFOG szerint'!F295)</f>
        <v>260000</v>
      </c>
      <c r="J24" s="261">
        <f>SUM('Kiadások COFOG szerint'!C296)</f>
        <v>0</v>
      </c>
      <c r="K24" s="20">
        <f>SUM('Kiadások COFOG szerint'!F296)</f>
        <v>0</v>
      </c>
    </row>
    <row r="25" spans="1:11" ht="24.95" customHeight="1" thickBot="1" x14ac:dyDescent="0.25">
      <c r="A25" s="943" t="s">
        <v>370</v>
      </c>
      <c r="B25" s="943"/>
      <c r="C25" s="943"/>
      <c r="D25" s="943"/>
      <c r="E25" s="943"/>
      <c r="F25" s="264">
        <v>0</v>
      </c>
      <c r="G25" s="30">
        <v>0</v>
      </c>
      <c r="H25" s="265">
        <v>0</v>
      </c>
      <c r="I25" s="266">
        <v>0</v>
      </c>
      <c r="J25" s="264">
        <f>SUM('Kiadások COFOG szerint'!C302:C305)</f>
        <v>0</v>
      </c>
      <c r="K25" s="30">
        <f>SUM('Kiadások COFOG szerint'!F302:F305)</f>
        <v>529000</v>
      </c>
    </row>
    <row r="26" spans="1:11" ht="27.75" customHeight="1" thickBot="1" x14ac:dyDescent="0.25">
      <c r="A26" s="944" t="s">
        <v>371</v>
      </c>
      <c r="B26" s="944"/>
      <c r="C26" s="944"/>
      <c r="D26" s="944"/>
      <c r="E26" s="945"/>
      <c r="F26" s="498">
        <f>SUM(F8:F25)</f>
        <v>47117820</v>
      </c>
      <c r="G26" s="498">
        <f t="shared" ref="G26:K26" si="0">SUM(G8:G25)</f>
        <v>44974350</v>
      </c>
      <c r="H26" s="498">
        <f t="shared" si="0"/>
        <v>6712000</v>
      </c>
      <c r="I26" s="498">
        <f t="shared" si="0"/>
        <v>6445000</v>
      </c>
      <c r="J26" s="498">
        <f t="shared" si="0"/>
        <v>68961800</v>
      </c>
      <c r="K26" s="498">
        <f t="shared" si="0"/>
        <v>89421240</v>
      </c>
    </row>
    <row r="30" spans="1:11" x14ac:dyDescent="0.2">
      <c r="G30" s="267"/>
      <c r="H30" s="267"/>
      <c r="I30" s="267"/>
      <c r="J30" s="267"/>
      <c r="K30" s="267"/>
    </row>
    <row r="31" spans="1:11" x14ac:dyDescent="0.2">
      <c r="G31" s="267"/>
      <c r="H31" s="267"/>
      <c r="I31" s="267"/>
      <c r="J31" s="267"/>
      <c r="K31" s="267"/>
    </row>
    <row r="32" spans="1:11" x14ac:dyDescent="0.2">
      <c r="G32" s="267"/>
      <c r="H32" s="267"/>
      <c r="I32" s="267"/>
      <c r="J32" s="267"/>
      <c r="K32" s="267"/>
    </row>
    <row r="33" spans="7:11" x14ac:dyDescent="0.2">
      <c r="G33" s="267"/>
      <c r="H33" s="267"/>
      <c r="I33" s="267"/>
      <c r="J33" s="267"/>
      <c r="K33" s="267"/>
    </row>
    <row r="34" spans="7:11" x14ac:dyDescent="0.2">
      <c r="G34" s="267"/>
      <c r="H34" s="267"/>
      <c r="I34" s="267"/>
      <c r="J34" s="267"/>
      <c r="K34" s="267"/>
    </row>
    <row r="35" spans="7:11" x14ac:dyDescent="0.2">
      <c r="G35" s="267"/>
      <c r="H35" s="267"/>
      <c r="I35" s="267"/>
      <c r="J35" s="267"/>
      <c r="K35" s="267"/>
    </row>
    <row r="36" spans="7:11" x14ac:dyDescent="0.2">
      <c r="G36" s="267"/>
      <c r="H36" s="267"/>
      <c r="I36" s="267"/>
      <c r="J36" s="267"/>
      <c r="K36" s="267"/>
    </row>
    <row r="37" spans="7:11" x14ac:dyDescent="0.2">
      <c r="G37" s="267"/>
      <c r="H37" s="267"/>
      <c r="I37" s="267"/>
      <c r="J37" s="267"/>
      <c r="K37" s="267"/>
    </row>
    <row r="38" spans="7:11" x14ac:dyDescent="0.2">
      <c r="G38" s="267"/>
      <c r="H38" s="267"/>
      <c r="I38" s="267"/>
      <c r="J38" s="267"/>
      <c r="K38" s="267"/>
    </row>
    <row r="39" spans="7:11" x14ac:dyDescent="0.2">
      <c r="G39" s="267"/>
      <c r="H39" s="267"/>
      <c r="I39" s="267"/>
      <c r="J39" s="267"/>
      <c r="K39" s="267"/>
    </row>
    <row r="40" spans="7:11" x14ac:dyDescent="0.2">
      <c r="G40" s="267"/>
      <c r="H40" s="267"/>
      <c r="I40" s="267"/>
      <c r="J40" s="267"/>
      <c r="K40" s="267"/>
    </row>
    <row r="41" spans="7:11" x14ac:dyDescent="0.2">
      <c r="G41" s="267"/>
      <c r="H41" s="267"/>
      <c r="I41" s="267"/>
      <c r="J41" s="267"/>
      <c r="K41" s="267"/>
    </row>
    <row r="42" spans="7:11" x14ac:dyDescent="0.2">
      <c r="G42" s="119"/>
      <c r="H42" s="119"/>
      <c r="I42" s="119"/>
      <c r="J42" s="119"/>
      <c r="K42" s="119"/>
    </row>
  </sheetData>
  <mergeCells count="26">
    <mergeCell ref="A2:K2"/>
    <mergeCell ref="A3:K3"/>
    <mergeCell ref="A4:K4"/>
    <mergeCell ref="A6:E7"/>
    <mergeCell ref="F6:G6"/>
    <mergeCell ref="J6:K6"/>
    <mergeCell ref="H6:I6"/>
    <mergeCell ref="A8:E8"/>
    <mergeCell ref="A9:E9"/>
    <mergeCell ref="A11:E11"/>
    <mergeCell ref="A14:E14"/>
    <mergeCell ref="A10:E10"/>
    <mergeCell ref="A12:E12"/>
    <mergeCell ref="A13:E13"/>
    <mergeCell ref="A22:E22"/>
    <mergeCell ref="A21:E21"/>
    <mergeCell ref="A25:E25"/>
    <mergeCell ref="A26:E26"/>
    <mergeCell ref="A15:E15"/>
    <mergeCell ref="A16:E16"/>
    <mergeCell ref="A17:E17"/>
    <mergeCell ref="A18:E18"/>
    <mergeCell ref="A23:E23"/>
    <mergeCell ref="A19:E19"/>
    <mergeCell ref="A20:E20"/>
    <mergeCell ref="A24:E24"/>
  </mergeCells>
  <pageMargins left="0.59055118110236227" right="0.59055118110236227" top="0.98425196850393704" bottom="0.59055118110236227" header="0.51181102362204722" footer="0.51181102362204722"/>
  <pageSetup paperSize="9" scale="67" firstPageNumber="0" orientation="landscape" verticalDpi="300" r:id="rId1"/>
  <colBreaks count="1" manualBreakCount="1">
    <brk id="11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9"/>
  <sheetViews>
    <sheetView view="pageBreakPreview" zoomScale="96" zoomScaleNormal="100" zoomScaleSheetLayoutView="96" workbookViewId="0">
      <selection activeCell="A6" sqref="A6"/>
    </sheetView>
  </sheetViews>
  <sheetFormatPr defaultRowHeight="12.75" x14ac:dyDescent="0.2"/>
  <cols>
    <col min="2" max="2" width="61.5703125" customWidth="1"/>
    <col min="3" max="3" width="17.85546875" customWidth="1"/>
  </cols>
  <sheetData>
    <row r="1" spans="1:3" x14ac:dyDescent="0.2">
      <c r="C1" s="466" t="s">
        <v>521</v>
      </c>
    </row>
    <row r="2" spans="1:3" ht="15.75" x14ac:dyDescent="0.25">
      <c r="B2" s="49" t="s">
        <v>615</v>
      </c>
    </row>
    <row r="3" spans="1:3" ht="15.75" x14ac:dyDescent="0.25">
      <c r="B3" s="49" t="s">
        <v>390</v>
      </c>
    </row>
    <row r="5" spans="1:3" x14ac:dyDescent="0.2">
      <c r="A5" s="953" t="s">
        <v>678</v>
      </c>
      <c r="B5" s="953"/>
      <c r="C5" s="953"/>
    </row>
    <row r="6" spans="1:3" x14ac:dyDescent="0.2">
      <c r="A6" s="467"/>
      <c r="B6" s="467"/>
      <c r="C6" s="467"/>
    </row>
    <row r="7" spans="1:3" ht="13.5" thickBot="1" x14ac:dyDescent="0.25"/>
    <row r="8" spans="1:3" x14ac:dyDescent="0.2">
      <c r="B8" s="468" t="s">
        <v>522</v>
      </c>
      <c r="C8" s="469">
        <v>92504100</v>
      </c>
    </row>
    <row r="9" spans="1:3" x14ac:dyDescent="0.2">
      <c r="B9" s="470" t="s">
        <v>676</v>
      </c>
      <c r="C9" s="471">
        <v>106304720</v>
      </c>
    </row>
    <row r="10" spans="1:3" x14ac:dyDescent="0.2">
      <c r="B10" s="470" t="s">
        <v>529</v>
      </c>
      <c r="C10" s="471">
        <v>48826937</v>
      </c>
    </row>
    <row r="11" spans="1:3" x14ac:dyDescent="0.2">
      <c r="B11" s="470" t="s">
        <v>530</v>
      </c>
      <c r="C11" s="471">
        <v>3553131</v>
      </c>
    </row>
    <row r="12" spans="1:3" x14ac:dyDescent="0.2">
      <c r="B12" s="470" t="s">
        <v>531</v>
      </c>
      <c r="C12" s="471">
        <v>0</v>
      </c>
    </row>
    <row r="13" spans="1:3" x14ac:dyDescent="0.2">
      <c r="B13" s="470" t="s">
        <v>523</v>
      </c>
      <c r="C13" s="471">
        <v>0</v>
      </c>
    </row>
    <row r="14" spans="1:3" x14ac:dyDescent="0.2">
      <c r="B14" s="470" t="s">
        <v>524</v>
      </c>
      <c r="C14" s="471">
        <v>0</v>
      </c>
    </row>
    <row r="15" spans="1:3" ht="13.5" thickBot="1" x14ac:dyDescent="0.25">
      <c r="B15" s="480" t="s">
        <v>528</v>
      </c>
      <c r="C15" s="481">
        <v>0</v>
      </c>
    </row>
    <row r="16" spans="1:3" ht="13.5" thickBot="1" x14ac:dyDescent="0.25">
      <c r="B16" s="472" t="s">
        <v>525</v>
      </c>
      <c r="C16" s="473">
        <f>SUM(C8:C15)</f>
        <v>251188888</v>
      </c>
    </row>
    <row r="18" spans="1:8" ht="13.5" thickBot="1" x14ac:dyDescent="0.25"/>
    <row r="19" spans="1:8" ht="18.75" thickBot="1" x14ac:dyDescent="0.5">
      <c r="A19" s="954" t="s">
        <v>526</v>
      </c>
      <c r="B19" s="955"/>
      <c r="C19" s="956"/>
    </row>
    <row r="20" spans="1:8" ht="22.5" x14ac:dyDescent="0.6">
      <c r="A20" s="474"/>
      <c r="B20" s="475" t="s">
        <v>663</v>
      </c>
      <c r="C20" s="198">
        <v>106304720</v>
      </c>
    </row>
    <row r="21" spans="1:8" ht="22.5" x14ac:dyDescent="0.6">
      <c r="A21" s="476"/>
      <c r="B21" s="668" t="s">
        <v>512</v>
      </c>
      <c r="C21" s="198">
        <v>48529410</v>
      </c>
      <c r="E21" s="120"/>
      <c r="F21" s="120"/>
      <c r="G21" s="120"/>
      <c r="H21" s="120"/>
    </row>
    <row r="22" spans="1:8" ht="22.5" x14ac:dyDescent="0.6">
      <c r="A22" s="476"/>
      <c r="B22" s="477" t="s">
        <v>600</v>
      </c>
      <c r="C22" s="461">
        <v>3553131</v>
      </c>
      <c r="E22" s="120"/>
      <c r="F22" s="120"/>
      <c r="G22" s="120"/>
      <c r="H22" s="120"/>
    </row>
    <row r="23" spans="1:8" ht="22.5" x14ac:dyDescent="0.6">
      <c r="A23" s="476"/>
      <c r="B23" s="477" t="s">
        <v>664</v>
      </c>
      <c r="C23" s="190">
        <v>10000000</v>
      </c>
      <c r="E23" s="120"/>
      <c r="F23" s="120"/>
      <c r="G23" s="120"/>
      <c r="H23" s="120"/>
    </row>
    <row r="24" spans="1:8" ht="22.5" x14ac:dyDescent="0.6">
      <c r="A24" s="476"/>
      <c r="B24" s="477" t="s">
        <v>666</v>
      </c>
      <c r="C24" s="190">
        <v>1500000</v>
      </c>
      <c r="E24" s="120"/>
      <c r="F24" s="120"/>
      <c r="G24" s="120"/>
      <c r="H24" s="120"/>
    </row>
    <row r="25" spans="1:8" ht="22.5" x14ac:dyDescent="0.6">
      <c r="A25" s="476"/>
      <c r="B25" s="477" t="s">
        <v>665</v>
      </c>
      <c r="C25" s="190">
        <v>6500000</v>
      </c>
      <c r="E25" s="120"/>
      <c r="F25" s="120"/>
      <c r="G25" s="120"/>
      <c r="H25" s="120"/>
    </row>
    <row r="26" spans="1:8" ht="22.5" x14ac:dyDescent="0.6">
      <c r="A26" s="478"/>
      <c r="B26" s="477" t="s">
        <v>675</v>
      </c>
      <c r="C26" s="190">
        <v>167640</v>
      </c>
      <c r="E26" s="120"/>
      <c r="F26" s="120"/>
      <c r="G26" s="120"/>
      <c r="H26" s="120"/>
    </row>
    <row r="27" spans="1:8" ht="22.5" x14ac:dyDescent="0.6">
      <c r="A27" s="478"/>
      <c r="B27" s="477" t="s">
        <v>677</v>
      </c>
      <c r="C27" s="190">
        <v>340200</v>
      </c>
      <c r="E27" s="120"/>
      <c r="F27" s="120"/>
      <c r="G27" s="120"/>
      <c r="H27" s="120"/>
    </row>
    <row r="28" spans="1:8" ht="23.25" thickBot="1" x14ac:dyDescent="0.65">
      <c r="A28" s="478"/>
      <c r="B28" s="669" t="s">
        <v>601</v>
      </c>
      <c r="C28" s="190">
        <v>256448</v>
      </c>
      <c r="E28" s="120"/>
      <c r="F28" s="120"/>
      <c r="G28" s="120"/>
      <c r="H28" s="120"/>
    </row>
    <row r="29" spans="1:8" ht="18.75" thickBot="1" x14ac:dyDescent="0.5">
      <c r="A29" s="957" t="s">
        <v>527</v>
      </c>
      <c r="B29" s="958"/>
      <c r="C29" s="479">
        <f>SUM(C20:C28)</f>
        <v>177151549</v>
      </c>
    </row>
  </sheetData>
  <mergeCells count="3">
    <mergeCell ref="A5:C5"/>
    <mergeCell ref="A19:C19"/>
    <mergeCell ref="A29:B29"/>
  </mergeCells>
  <phoneticPr fontId="33" type="noConversion"/>
  <pageMargins left="0.59055118110236227" right="0.59055118110236227" top="0.98425196850393704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8</vt:i4>
      </vt:variant>
    </vt:vector>
  </HeadingPairs>
  <TitlesOfParts>
    <vt:vector size="16" baseType="lpstr">
      <vt:lpstr>Mérleg(önkormányzat 2023)</vt:lpstr>
      <vt:lpstr>Bevételek(önkormányzat 2023</vt:lpstr>
      <vt:lpstr>Bevételek COFOG szerint 2023</vt:lpstr>
      <vt:lpstr>Kiadások(önkormányzat 2023)</vt:lpstr>
      <vt:lpstr>Kiadások COFOG szerint</vt:lpstr>
      <vt:lpstr>Kiadások részletes COFOG</vt:lpstr>
      <vt:lpstr>Kiadások COFOG összesítő</vt:lpstr>
      <vt:lpstr>Pénzmaradvány 2020</vt:lpstr>
      <vt:lpstr>'Bevételek COFOG szerint 2023'!Nyomtatási_terület</vt:lpstr>
      <vt:lpstr>'Bevételek(önkormányzat 2023'!Nyomtatási_terület</vt:lpstr>
      <vt:lpstr>'Kiadások COFOG összesítő'!Nyomtatási_terület</vt:lpstr>
      <vt:lpstr>'Kiadások COFOG szerint'!Nyomtatási_terület</vt:lpstr>
      <vt:lpstr>'Kiadások részletes COFOG'!Nyomtatási_terület</vt:lpstr>
      <vt:lpstr>'Kiadások(önkormányzat 2023)'!Nyomtatási_terület</vt:lpstr>
      <vt:lpstr>'Mérleg(önkormányzat 2023)'!Nyomtatási_terület</vt:lpstr>
      <vt:lpstr>'Pénzmaradvány 2020'!Nyomtatási_terület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SzZsuzsi</dc:creator>
  <dc:description/>
  <cp:lastModifiedBy>Rozbora Timea</cp:lastModifiedBy>
  <cp:revision>7</cp:revision>
  <cp:lastPrinted>2023-01-19T13:29:09Z</cp:lastPrinted>
  <dcterms:created xsi:type="dcterms:W3CDTF">2016-01-02T07:45:43Z</dcterms:created>
  <dcterms:modified xsi:type="dcterms:W3CDTF">2023-02-02T07:55:52Z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